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lederer\Documents\"/>
    </mc:Choice>
  </mc:AlternateContent>
  <bookViews>
    <workbookView xWindow="0" yWindow="0" windowWidth="16170" windowHeight="5955" tabRatio="964" firstSheet="11" activeTab="11"/>
  </bookViews>
  <sheets>
    <sheet name="Summary of all outcomes" sheetId="1" state="hidden" r:id="rId1"/>
    <sheet name="Caseload" sheetId="29" state="hidden" r:id="rId2"/>
    <sheet name="Caseload vs Closure" sheetId="26" state="hidden" r:id="rId3"/>
    <sheet name="Earnings Outcomes" sheetId="2" state="hidden" r:id="rId4"/>
    <sheet name="Earnings Outcomes_Adjusted" sheetId="17" state="hidden" r:id="rId5"/>
    <sheet name="Tables in Peter's Paper" sheetId="9" state="hidden" r:id="rId6"/>
    <sheet name="Earnings Charts_adjusted" sheetId="21" state="hidden" r:id="rId7"/>
    <sheet name="Tables in Peter's Paper_Pct Chg" sheetId="20" state="hidden" r:id="rId8"/>
    <sheet name="FGA's Bar Chart" sheetId="18" state="hidden" r:id="rId9"/>
    <sheet name="Earning Matrices-Percentile Cht" sheetId="23" state="hidden" r:id="rId10"/>
    <sheet name="2012 Cohort Earnings" sheetId="24" state="hidden" r:id="rId11"/>
    <sheet name="Earnings- All Parents" sheetId="38" r:id="rId12"/>
    <sheet name="Earnings- Work Sanction" sheetId="39" r:id="rId13"/>
    <sheet name="Earnings- Time Limit" sheetId="40" r:id="rId14"/>
    <sheet name="Earnings- Income Limit" sheetId="41" r:id="rId15"/>
    <sheet name="Earnings- Other" sheetId="42" r:id="rId16"/>
    <sheet name="No. of Quarters Worked" sheetId="37" r:id="rId17"/>
    <sheet name="Chg in Mean and Median Earnings" sheetId="43" r:id="rId18"/>
    <sheet name="Earnings by Diff Levels of FPL" sheetId="28" state="hidden" r:id="rId19"/>
    <sheet name="Consumer Expenditure Survey" sheetId="34" state="hidden" r:id="rId20"/>
    <sheet name="Earning Groups" sheetId="19" state="hidden" r:id="rId21"/>
    <sheet name="Earnings Charts" sheetId="6" state="hidden" r:id="rId22"/>
    <sheet name="Excluding &quot;all missing&quot;" sheetId="13" state="hidden" r:id="rId23"/>
    <sheet name="FPL" sheetId="15" state="hidden" r:id="rId24"/>
    <sheet name="Distribut. of Leavers by Month" sheetId="11" state="hidden" r:id="rId25"/>
  </sheets>
  <definedNames>
    <definedName name="_xlnm._FilterDatabase" localSheetId="3" hidden="1">'Earnings Outcomes'!$A$1:$R$45</definedName>
    <definedName name="_xlnm._FilterDatabase" localSheetId="4" hidden="1">'Earnings Outcomes_Adjusted'!$A$1:$R$89</definedName>
    <definedName name="_Hlk497144711" localSheetId="9">'Earning Matrices-Percentile Cht'!$A$39</definedName>
    <definedName name="_MailEndCompose" localSheetId="6">'Earnings Charts_adjusted'!$B$54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21" l="1"/>
  <c r="R6" i="21"/>
  <c r="R7" i="21"/>
  <c r="R8" i="21"/>
  <c r="R4" i="21"/>
  <c r="D63" i="18"/>
  <c r="G52" i="18"/>
  <c r="F52" i="18"/>
  <c r="F65" i="18"/>
  <c r="E52" i="18"/>
  <c r="D52" i="18"/>
  <c r="C52" i="18"/>
  <c r="D65" i="18"/>
  <c r="B49" i="18"/>
  <c r="F49" i="18"/>
  <c r="E49" i="18"/>
  <c r="D49" i="18"/>
  <c r="C49" i="18"/>
  <c r="C53" i="18"/>
  <c r="C50" i="18"/>
  <c r="B50" i="18"/>
  <c r="J68" i="20"/>
  <c r="J69" i="20"/>
  <c r="J5" i="20"/>
  <c r="AB29" i="23"/>
  <c r="AB28" i="23"/>
  <c r="AB27" i="23"/>
  <c r="AC23" i="23"/>
  <c r="AC24" i="23"/>
  <c r="AC22" i="23"/>
  <c r="AB25" i="23"/>
  <c r="AB24" i="23"/>
  <c r="AB23" i="23"/>
  <c r="AB22" i="23"/>
  <c r="AB4" i="23"/>
  <c r="G53" i="18"/>
  <c r="D53" i="18"/>
  <c r="F53" i="18"/>
  <c r="F63" i="18"/>
  <c r="C54" i="18"/>
  <c r="E53" i="18"/>
  <c r="D62" i="18"/>
  <c r="J24" i="20"/>
  <c r="G23" i="24"/>
  <c r="N101" i="34"/>
  <c r="M6" i="24"/>
  <c r="N6" i="24"/>
  <c r="O6" i="24"/>
  <c r="P6" i="24"/>
  <c r="L6" i="24"/>
  <c r="I27" i="24"/>
  <c r="R4" i="24"/>
  <c r="Q4" i="24"/>
  <c r="M4" i="24"/>
  <c r="N4" i="24"/>
  <c r="O4" i="24"/>
  <c r="P4" i="24"/>
  <c r="L4" i="24"/>
  <c r="M3" i="24"/>
  <c r="N3" i="24"/>
  <c r="O3" i="24"/>
  <c r="P3" i="24"/>
  <c r="Q3" i="24"/>
  <c r="L3" i="24"/>
  <c r="M2" i="24"/>
  <c r="N2" i="24"/>
  <c r="O2" i="24"/>
  <c r="P2" i="24"/>
  <c r="Q2" i="24"/>
  <c r="L2" i="24"/>
  <c r="R2" i="24"/>
  <c r="R3" i="24"/>
  <c r="M98" i="34"/>
  <c r="I113" i="21"/>
  <c r="J113" i="21"/>
  <c r="I112" i="21"/>
  <c r="J112" i="21"/>
  <c r="I109" i="21"/>
  <c r="J109" i="21"/>
  <c r="J108" i="21"/>
  <c r="I108" i="21"/>
  <c r="I105" i="21"/>
  <c r="J105" i="21"/>
  <c r="I104" i="21"/>
  <c r="J104" i="21"/>
  <c r="I101" i="21"/>
  <c r="J101" i="21"/>
  <c r="J100" i="21"/>
  <c r="I100" i="21"/>
  <c r="I97" i="21"/>
  <c r="J97" i="21"/>
  <c r="I96" i="21"/>
  <c r="J96" i="21"/>
  <c r="K6" i="15"/>
  <c r="I6" i="15"/>
  <c r="M101" i="20"/>
  <c r="M110" i="20"/>
  <c r="M111" i="20"/>
  <c r="M102" i="20"/>
  <c r="M100" i="20"/>
  <c r="M109" i="20"/>
  <c r="G59" i="21"/>
  <c r="F59" i="21"/>
  <c r="D31" i="21"/>
  <c r="S5" i="21"/>
  <c r="Q5" i="21"/>
  <c r="P5" i="21"/>
  <c r="D67" i="21"/>
  <c r="S6" i="21"/>
  <c r="S7" i="21"/>
  <c r="S8" i="21"/>
  <c r="S4" i="21"/>
  <c r="AB11" i="23"/>
  <c r="AB10" i="23"/>
  <c r="H89" i="34"/>
  <c r="I89" i="34"/>
  <c r="F47" i="28"/>
  <c r="G44" i="28"/>
  <c r="G42" i="28"/>
  <c r="B48" i="28"/>
  <c r="N60" i="20"/>
  <c r="AB60" i="20"/>
  <c r="Y60" i="20"/>
  <c r="Z60" i="20"/>
  <c r="AA60" i="20"/>
  <c r="X60" i="20"/>
  <c r="K60" i="20"/>
  <c r="L60" i="20"/>
  <c r="M60" i="20"/>
  <c r="J60" i="20"/>
  <c r="AA65" i="20"/>
  <c r="Z65" i="20"/>
  <c r="Y65" i="20"/>
  <c r="X65" i="20"/>
  <c r="W65" i="20"/>
  <c r="AA64" i="20"/>
  <c r="Z64" i="20"/>
  <c r="Y64" i="20"/>
  <c r="X64" i="20"/>
  <c r="W64" i="20"/>
  <c r="AA62" i="20"/>
  <c r="Z62" i="20"/>
  <c r="Y62" i="20"/>
  <c r="X62" i="20"/>
  <c r="W62" i="20"/>
  <c r="AA61" i="20"/>
  <c r="Z61" i="20"/>
  <c r="Y61" i="20"/>
  <c r="X61" i="20"/>
  <c r="W61" i="20"/>
  <c r="W60" i="20"/>
  <c r="G24" i="28"/>
  <c r="H22" i="28"/>
  <c r="F22" i="28"/>
  <c r="F20" i="28"/>
  <c r="D32" i="21"/>
  <c r="D33" i="21"/>
  <c r="D34" i="21"/>
  <c r="D30" i="21"/>
  <c r="Q80" i="23"/>
  <c r="R80" i="23"/>
  <c r="S80" i="23"/>
  <c r="T80" i="23"/>
  <c r="Q78" i="23"/>
  <c r="R78" i="23"/>
  <c r="S78" i="23"/>
  <c r="T78" i="23"/>
  <c r="Q76" i="23"/>
  <c r="R76" i="23"/>
  <c r="S76" i="23"/>
  <c r="T76" i="23"/>
  <c r="Q74" i="23"/>
  <c r="R74" i="23"/>
  <c r="S74" i="23"/>
  <c r="T74" i="23"/>
  <c r="P80" i="23"/>
  <c r="P78" i="23"/>
  <c r="P76" i="23"/>
  <c r="P74" i="23"/>
  <c r="T72" i="23"/>
  <c r="S72" i="23"/>
  <c r="R72" i="23"/>
  <c r="Q72" i="23"/>
  <c r="P72" i="23"/>
  <c r="Q65" i="23"/>
  <c r="R65" i="23"/>
  <c r="S65" i="23"/>
  <c r="T65" i="23"/>
  <c r="Q63" i="23"/>
  <c r="R63" i="23"/>
  <c r="S63" i="23"/>
  <c r="T63" i="23"/>
  <c r="Q61" i="23"/>
  <c r="R61" i="23"/>
  <c r="S61" i="23"/>
  <c r="T61" i="23"/>
  <c r="Q59" i="23"/>
  <c r="R59" i="23"/>
  <c r="S59" i="23"/>
  <c r="T59" i="23"/>
  <c r="P65" i="23"/>
  <c r="P63" i="23"/>
  <c r="P61" i="23"/>
  <c r="P59" i="23"/>
  <c r="Q57" i="23"/>
  <c r="R57" i="23"/>
  <c r="S57" i="23"/>
  <c r="T57" i="23"/>
  <c r="P57" i="23"/>
  <c r="Q32" i="23"/>
  <c r="R32" i="23"/>
  <c r="S32" i="23"/>
  <c r="T32" i="23"/>
  <c r="Q30" i="23"/>
  <c r="R30" i="23"/>
  <c r="S30" i="23"/>
  <c r="T30" i="23"/>
  <c r="Q28" i="23"/>
  <c r="R28" i="23"/>
  <c r="S28" i="23"/>
  <c r="T28" i="23"/>
  <c r="Q26" i="23"/>
  <c r="R26" i="23"/>
  <c r="S26" i="23"/>
  <c r="T26" i="23"/>
  <c r="Q24" i="23"/>
  <c r="R24" i="23"/>
  <c r="S24" i="23"/>
  <c r="T24" i="23"/>
  <c r="P24" i="23"/>
  <c r="Q50" i="23"/>
  <c r="R50" i="23"/>
  <c r="S50" i="23"/>
  <c r="T50" i="23"/>
  <c r="Q48" i="23"/>
  <c r="R48" i="23"/>
  <c r="S48" i="23"/>
  <c r="T48" i="23"/>
  <c r="P46" i="23"/>
  <c r="Q46" i="23"/>
  <c r="R46" i="23"/>
  <c r="S46" i="23"/>
  <c r="T46" i="23"/>
  <c r="Q44" i="23"/>
  <c r="R44" i="23"/>
  <c r="S44" i="23"/>
  <c r="T44" i="23"/>
  <c r="P50" i="23"/>
  <c r="P48" i="23"/>
  <c r="P44" i="23"/>
  <c r="Q42" i="23"/>
  <c r="R42" i="23"/>
  <c r="S42" i="23"/>
  <c r="T42" i="23"/>
  <c r="P42" i="23"/>
  <c r="O18" i="23"/>
  <c r="V25" i="23"/>
  <c r="V27" i="23"/>
  <c r="V29" i="23"/>
  <c r="V31" i="23"/>
  <c r="V23" i="23"/>
  <c r="Q34" i="23"/>
  <c r="R34" i="23"/>
  <c r="S34" i="23"/>
  <c r="T34" i="23"/>
  <c r="P34" i="23"/>
  <c r="G19" i="26"/>
  <c r="F22" i="26"/>
  <c r="F21" i="26"/>
  <c r="F20" i="26"/>
  <c r="F19" i="26"/>
  <c r="J65" i="20"/>
  <c r="K65" i="20"/>
  <c r="L65" i="20"/>
  <c r="M65" i="20"/>
  <c r="I65" i="20"/>
  <c r="J64" i="20"/>
  <c r="K64" i="20"/>
  <c r="L64" i="20"/>
  <c r="M64" i="20"/>
  <c r="I64" i="20"/>
  <c r="J62" i="20"/>
  <c r="K62" i="20"/>
  <c r="L62" i="20"/>
  <c r="M62" i="20"/>
  <c r="I62" i="20"/>
  <c r="J61" i="20"/>
  <c r="K61" i="20"/>
  <c r="L61" i="20"/>
  <c r="M61" i="20"/>
  <c r="I61" i="20"/>
  <c r="C73" i="21"/>
  <c r="C76" i="21"/>
  <c r="C77" i="21"/>
  <c r="C72" i="21"/>
  <c r="G60" i="21"/>
  <c r="E74" i="21"/>
  <c r="E75" i="21"/>
  <c r="G61" i="21"/>
  <c r="E76" i="21"/>
  <c r="G62" i="21"/>
  <c r="E77" i="21"/>
  <c r="G58" i="21"/>
  <c r="E73" i="21"/>
  <c r="F60" i="21"/>
  <c r="E67" i="21"/>
  <c r="E69" i="21"/>
  <c r="F61" i="21"/>
  <c r="E68" i="21"/>
  <c r="F62" i="21"/>
  <c r="E70" i="21"/>
  <c r="F58" i="21"/>
  <c r="E66" i="21"/>
  <c r="AF75" i="20"/>
  <c r="AF76" i="20"/>
  <c r="AD67" i="20"/>
  <c r="AE67" i="20"/>
  <c r="AF67" i="20"/>
  <c r="AG67" i="20"/>
  <c r="AC67" i="20"/>
  <c r="AD66" i="20"/>
  <c r="AE66" i="20"/>
  <c r="AF66" i="20"/>
  <c r="AG66" i="20"/>
  <c r="AC66" i="20"/>
  <c r="AG64" i="20"/>
  <c r="AG63" i="20"/>
  <c r="AD64" i="20"/>
  <c r="AE64" i="20"/>
  <c r="AF64" i="20"/>
  <c r="AC64" i="20"/>
  <c r="AD63" i="20"/>
  <c r="AE63" i="20"/>
  <c r="AF63" i="20"/>
  <c r="AC63" i="20"/>
  <c r="G50" i="21"/>
  <c r="G51" i="21"/>
  <c r="G52" i="21"/>
  <c r="G53" i="21"/>
  <c r="G49" i="21"/>
  <c r="F50" i="21"/>
  <c r="F51" i="21"/>
  <c r="F52" i="21"/>
  <c r="F53" i="21"/>
  <c r="F49" i="21"/>
  <c r="D44" i="23"/>
  <c r="D45" i="23"/>
  <c r="D46" i="23"/>
  <c r="E44" i="23"/>
  <c r="E45" i="23"/>
  <c r="E46" i="23"/>
  <c r="E43" i="23"/>
  <c r="D37" i="23"/>
  <c r="E42" i="28"/>
  <c r="E43" i="28"/>
  <c r="E44" i="28"/>
  <c r="E45" i="28"/>
  <c r="E46" i="28"/>
  <c r="E47" i="28"/>
  <c r="D42" i="28"/>
  <c r="D43" i="28"/>
  <c r="D44" i="28"/>
  <c r="D45" i="28"/>
  <c r="D46" i="28"/>
  <c r="D47" i="28"/>
  <c r="E32" i="28"/>
  <c r="E33" i="28"/>
  <c r="E34" i="28"/>
  <c r="E35" i="28"/>
  <c r="E36" i="28"/>
  <c r="E37" i="28"/>
  <c r="D32" i="28"/>
  <c r="D33" i="28"/>
  <c r="D34" i="28"/>
  <c r="D35" i="28"/>
  <c r="D36" i="28"/>
  <c r="D37" i="28"/>
  <c r="C39" i="18"/>
  <c r="B39" i="18"/>
  <c r="C28" i="18"/>
  <c r="B28" i="18"/>
  <c r="C22" i="18"/>
  <c r="C27" i="18"/>
  <c r="D22" i="18"/>
  <c r="D36" i="18"/>
  <c r="E22" i="18"/>
  <c r="E27" i="18"/>
  <c r="F22" i="18"/>
  <c r="F36" i="18"/>
  <c r="B22" i="18"/>
  <c r="B27" i="18"/>
  <c r="C16" i="18"/>
  <c r="C17" i="18"/>
  <c r="D16" i="18"/>
  <c r="D17" i="18"/>
  <c r="E16" i="18"/>
  <c r="E17" i="18"/>
  <c r="F16" i="18"/>
  <c r="F17" i="18"/>
  <c r="B16" i="18"/>
  <c r="B17" i="18"/>
  <c r="F14" i="18"/>
  <c r="F26" i="18"/>
  <c r="E14" i="18"/>
  <c r="E37" i="18"/>
  <c r="D14" i="18"/>
  <c r="D26" i="18"/>
  <c r="C14" i="18"/>
  <c r="C26" i="18"/>
  <c r="B14" i="18"/>
  <c r="B26" i="18"/>
  <c r="J120" i="20"/>
  <c r="D27" i="18"/>
  <c r="F27" i="18"/>
  <c r="B29" i="18"/>
  <c r="D23" i="18"/>
  <c r="B36" i="18"/>
  <c r="C36" i="18"/>
  <c r="C23" i="18"/>
  <c r="B37" i="18"/>
  <c r="F23" i="18"/>
  <c r="E36" i="18"/>
  <c r="C29" i="18"/>
  <c r="C30" i="18"/>
  <c r="E23" i="18"/>
  <c r="F15" i="18"/>
  <c r="E38" i="18"/>
  <c r="E26" i="18"/>
  <c r="D38" i="18"/>
  <c r="B15" i="18"/>
  <c r="D37" i="18"/>
  <c r="F37" i="18"/>
  <c r="B38" i="18"/>
  <c r="C38" i="18"/>
  <c r="E15" i="18"/>
  <c r="C15" i="18"/>
  <c r="G19" i="18"/>
  <c r="C37" i="18"/>
  <c r="F38" i="18"/>
  <c r="D15" i="18"/>
  <c r="W110" i="20"/>
  <c r="L94" i="20"/>
  <c r="Q6" i="21"/>
  <c r="Q7" i="21"/>
  <c r="Q8" i="21"/>
  <c r="Q4" i="21"/>
  <c r="P6" i="21"/>
  <c r="D68" i="21"/>
  <c r="P7" i="21"/>
  <c r="D69" i="21"/>
  <c r="P8" i="21"/>
  <c r="D70" i="21"/>
  <c r="P4" i="21"/>
  <c r="D66" i="21"/>
  <c r="C25" i="28"/>
  <c r="B25" i="28"/>
  <c r="E19" i="28"/>
  <c r="E20" i="28"/>
  <c r="E21" i="28"/>
  <c r="E22" i="28"/>
  <c r="E23" i="28"/>
  <c r="E24" i="28"/>
  <c r="D19" i="28"/>
  <c r="D20" i="28"/>
  <c r="D21" i="28"/>
  <c r="D22" i="28"/>
  <c r="D23" i="28"/>
  <c r="D24" i="28"/>
  <c r="T6" i="21"/>
  <c r="T7" i="21"/>
  <c r="T8" i="21"/>
  <c r="T9" i="21"/>
  <c r="T4" i="21"/>
  <c r="T3" i="21"/>
  <c r="V20" i="21"/>
  <c r="V21" i="21"/>
  <c r="V22" i="21"/>
  <c r="V19" i="21"/>
  <c r="U20" i="21"/>
  <c r="U21" i="21"/>
  <c r="U22" i="21"/>
  <c r="U19" i="21"/>
  <c r="V7" i="21"/>
  <c r="V8" i="21"/>
  <c r="V9" i="21"/>
  <c r="V6" i="21"/>
  <c r="U7" i="21"/>
  <c r="U8" i="21"/>
  <c r="U9" i="21"/>
  <c r="U6" i="21"/>
  <c r="C11" i="28"/>
  <c r="E6" i="28"/>
  <c r="E7" i="28"/>
  <c r="E8" i="28"/>
  <c r="E9" i="28"/>
  <c r="E10" i="28"/>
  <c r="E5" i="28"/>
  <c r="D5" i="28"/>
  <c r="D6" i="28"/>
  <c r="D7" i="28"/>
  <c r="D8" i="28"/>
  <c r="D9" i="28"/>
  <c r="D10" i="28"/>
  <c r="AF117" i="20"/>
  <c r="AF118" i="20"/>
  <c r="AF120" i="20"/>
  <c r="AE118" i="20"/>
  <c r="AE117" i="20"/>
  <c r="AE120" i="20"/>
  <c r="AD123" i="20"/>
  <c r="AD122" i="20"/>
  <c r="AD124" i="20"/>
  <c r="AC123" i="20"/>
  <c r="AC122" i="20"/>
  <c r="D75" i="21"/>
  <c r="D77" i="21"/>
  <c r="D76" i="21"/>
  <c r="D73" i="21"/>
  <c r="D74" i="21"/>
  <c r="AD125" i="20"/>
  <c r="AF119" i="20"/>
  <c r="AE119" i="20"/>
  <c r="AC124" i="20"/>
  <c r="AC125" i="20"/>
  <c r="F43" i="26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3" i="26"/>
  <c r="AD24" i="20"/>
  <c r="AD25" i="20"/>
  <c r="AC25" i="20"/>
  <c r="AG25" i="20"/>
  <c r="AC24" i="20"/>
  <c r="AD12" i="20"/>
  <c r="AD11" i="20"/>
  <c r="AB48" i="20"/>
  <c r="W48" i="20"/>
  <c r="AE8" i="20"/>
  <c r="AE7" i="20"/>
  <c r="AC8" i="20"/>
  <c r="AD5" i="20"/>
  <c r="AD4" i="20"/>
  <c r="AE4" i="20"/>
  <c r="AB5" i="20"/>
  <c r="AC5" i="20"/>
  <c r="AB4" i="20"/>
  <c r="AC16" i="20"/>
  <c r="AE5" i="20"/>
  <c r="AE6" i="20"/>
  <c r="AE3" i="20"/>
  <c r="AC4" i="20"/>
  <c r="AD27" i="20"/>
  <c r="AD17" i="20"/>
  <c r="AC26" i="20"/>
  <c r="AC27" i="20"/>
  <c r="AB14" i="20"/>
  <c r="AC17" i="20"/>
  <c r="AD26" i="20"/>
  <c r="C46" i="26"/>
  <c r="B46" i="26"/>
  <c r="C45" i="26"/>
  <c r="B45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E12" i="26"/>
  <c r="D12" i="26"/>
  <c r="E11" i="26"/>
  <c r="D11" i="26"/>
  <c r="E10" i="26"/>
  <c r="D10" i="26"/>
  <c r="E9" i="26"/>
  <c r="D9" i="26"/>
  <c r="E8" i="26"/>
  <c r="D8" i="26"/>
  <c r="E7" i="26"/>
  <c r="D7" i="26"/>
  <c r="E6" i="26"/>
  <c r="D6" i="26"/>
  <c r="E5" i="26"/>
  <c r="D5" i="26"/>
  <c r="E4" i="26"/>
  <c r="D4" i="26"/>
  <c r="D46" i="26"/>
  <c r="E3" i="26"/>
  <c r="E46" i="26"/>
  <c r="D3" i="26"/>
  <c r="AB6" i="23"/>
  <c r="AC6" i="23"/>
  <c r="AB5" i="23"/>
  <c r="AC5" i="23"/>
  <c r="AB7" i="23"/>
  <c r="AB14" i="23"/>
  <c r="AC4" i="23"/>
  <c r="AB9" i="23"/>
  <c r="AD12" i="23"/>
  <c r="AC100" i="20"/>
  <c r="AC101" i="20"/>
  <c r="V3" i="23"/>
  <c r="W3" i="23"/>
  <c r="W23" i="23"/>
  <c r="V22" i="23"/>
  <c r="V20" i="23"/>
  <c r="V21" i="23"/>
  <c r="W20" i="23"/>
  <c r="W21" i="23"/>
  <c r="V7" i="23"/>
  <c r="Q17" i="23"/>
  <c r="V9" i="23"/>
  <c r="R17" i="23"/>
  <c r="V11" i="23"/>
  <c r="S17" i="23"/>
  <c r="V13" i="23"/>
  <c r="T17" i="23"/>
  <c r="V5" i="23"/>
  <c r="P17" i="23"/>
  <c r="N8" i="23"/>
  <c r="Q16" i="23"/>
  <c r="Q18" i="23"/>
  <c r="R16" i="23"/>
  <c r="R18" i="23"/>
  <c r="S16" i="23"/>
  <c r="S18" i="23"/>
  <c r="T16" i="23"/>
  <c r="T18" i="23"/>
  <c r="P16" i="23"/>
  <c r="P18" i="23"/>
  <c r="W15" i="23"/>
  <c r="W13" i="23"/>
  <c r="X13" i="23"/>
  <c r="W11" i="23"/>
  <c r="X11" i="23"/>
  <c r="W9" i="23"/>
  <c r="X9" i="23"/>
  <c r="W7" i="23"/>
  <c r="X7" i="23"/>
  <c r="W5" i="23"/>
  <c r="X5" i="23"/>
  <c r="C3" i="24"/>
  <c r="D3" i="24"/>
  <c r="E3" i="24"/>
  <c r="F3" i="24"/>
  <c r="B3" i="24"/>
  <c r="E25" i="23"/>
  <c r="C25" i="23"/>
  <c r="E24" i="23"/>
  <c r="C24" i="23"/>
  <c r="E23" i="23"/>
  <c r="C23" i="23"/>
  <c r="E22" i="23"/>
  <c r="C22" i="23"/>
  <c r="E21" i="23"/>
  <c r="C21" i="23"/>
  <c r="E4" i="23"/>
  <c r="E5" i="23"/>
  <c r="E6" i="23"/>
  <c r="E7" i="23"/>
  <c r="E3" i="23"/>
  <c r="C4" i="23"/>
  <c r="C5" i="23"/>
  <c r="C6" i="23"/>
  <c r="C7" i="23"/>
  <c r="C3" i="23"/>
  <c r="P32" i="23"/>
  <c r="L32" i="23"/>
  <c r="K32" i="23"/>
  <c r="J32" i="23"/>
  <c r="I32" i="23"/>
  <c r="H32" i="23"/>
  <c r="P30" i="23"/>
  <c r="L30" i="23"/>
  <c r="K30" i="23"/>
  <c r="J30" i="23"/>
  <c r="I30" i="23"/>
  <c r="H30" i="23"/>
  <c r="P28" i="23"/>
  <c r="L28" i="23"/>
  <c r="K28" i="23"/>
  <c r="J28" i="23"/>
  <c r="I28" i="23"/>
  <c r="H28" i="23"/>
  <c r="P26" i="23"/>
  <c r="L26" i="23"/>
  <c r="K26" i="23"/>
  <c r="J26" i="23"/>
  <c r="I26" i="23"/>
  <c r="H26" i="23"/>
  <c r="L24" i="23"/>
  <c r="K24" i="23"/>
  <c r="J24" i="23"/>
  <c r="I24" i="23"/>
  <c r="H24" i="23"/>
  <c r="T14" i="23"/>
  <c r="S14" i="23"/>
  <c r="R14" i="23"/>
  <c r="Q14" i="23"/>
  <c r="P14" i="23"/>
  <c r="L14" i="23"/>
  <c r="K14" i="23"/>
  <c r="J14" i="23"/>
  <c r="I14" i="23"/>
  <c r="H14" i="23"/>
  <c r="T12" i="23"/>
  <c r="S12" i="23"/>
  <c r="R12" i="23"/>
  <c r="Q12" i="23"/>
  <c r="P12" i="23"/>
  <c r="L12" i="23"/>
  <c r="K12" i="23"/>
  <c r="J12" i="23"/>
  <c r="I12" i="23"/>
  <c r="H12" i="23"/>
  <c r="T10" i="23"/>
  <c r="S10" i="23"/>
  <c r="R10" i="23"/>
  <c r="Q10" i="23"/>
  <c r="P10" i="23"/>
  <c r="L10" i="23"/>
  <c r="K10" i="23"/>
  <c r="J10" i="23"/>
  <c r="I10" i="23"/>
  <c r="H10" i="23"/>
  <c r="T8" i="23"/>
  <c r="S8" i="23"/>
  <c r="R8" i="23"/>
  <c r="Q8" i="23"/>
  <c r="P8" i="23"/>
  <c r="Y7" i="23"/>
  <c r="L8" i="23"/>
  <c r="K8" i="23"/>
  <c r="J8" i="23"/>
  <c r="I8" i="23"/>
  <c r="H8" i="23"/>
  <c r="T6" i="23"/>
  <c r="S6" i="23"/>
  <c r="R6" i="23"/>
  <c r="Q6" i="23"/>
  <c r="P6" i="23"/>
  <c r="Y5" i="23"/>
  <c r="L6" i="23"/>
  <c r="K6" i="23"/>
  <c r="J6" i="23"/>
  <c r="I6" i="23"/>
  <c r="H6" i="23"/>
  <c r="D179" i="20"/>
  <c r="E179" i="20"/>
  <c r="F179" i="20"/>
  <c r="G179" i="20"/>
  <c r="C179" i="20"/>
  <c r="G152" i="20"/>
  <c r="F152" i="20"/>
  <c r="E152" i="20"/>
  <c r="D152" i="20"/>
  <c r="C156" i="20"/>
  <c r="C155" i="20"/>
  <c r="C154" i="20"/>
  <c r="C153" i="20"/>
  <c r="G128" i="20"/>
  <c r="G147" i="20"/>
  <c r="E156" i="20"/>
  <c r="G129" i="20"/>
  <c r="G148" i="20"/>
  <c r="F156" i="20"/>
  <c r="G130" i="20"/>
  <c r="G149" i="20"/>
  <c r="G156" i="20"/>
  <c r="G127" i="20"/>
  <c r="G146" i="20"/>
  <c r="D156" i="20"/>
  <c r="F128" i="20"/>
  <c r="F147" i="20"/>
  <c r="E155" i="20"/>
  <c r="F129" i="20"/>
  <c r="F148" i="20"/>
  <c r="F155" i="20"/>
  <c r="F130" i="20"/>
  <c r="F149" i="20"/>
  <c r="G155" i="20"/>
  <c r="F127" i="20"/>
  <c r="F146" i="20"/>
  <c r="D155" i="20"/>
  <c r="E128" i="20"/>
  <c r="E147" i="20"/>
  <c r="E154" i="20"/>
  <c r="E129" i="20"/>
  <c r="E148" i="20"/>
  <c r="F154" i="20"/>
  <c r="E130" i="20"/>
  <c r="E149" i="20"/>
  <c r="G154" i="20"/>
  <c r="E127" i="20"/>
  <c r="E146" i="20"/>
  <c r="D154" i="20"/>
  <c r="D128" i="20"/>
  <c r="D147" i="20"/>
  <c r="E153" i="20"/>
  <c r="D129" i="20"/>
  <c r="D148" i="20"/>
  <c r="F153" i="20"/>
  <c r="D130" i="20"/>
  <c r="D149" i="20"/>
  <c r="G153" i="20"/>
  <c r="D127" i="20"/>
  <c r="D146" i="20"/>
  <c r="D153" i="20"/>
  <c r="B142" i="20"/>
  <c r="G238" i="19"/>
  <c r="G240" i="19"/>
  <c r="G241" i="19"/>
  <c r="G237" i="19"/>
  <c r="G226" i="19"/>
  <c r="G228" i="19"/>
  <c r="G229" i="19"/>
  <c r="G225" i="19"/>
  <c r="U179" i="19"/>
  <c r="U176" i="19"/>
  <c r="U171" i="19"/>
  <c r="U168" i="19"/>
  <c r="U163" i="19"/>
  <c r="U160" i="19"/>
  <c r="L169" i="19"/>
  <c r="L160" i="19"/>
  <c r="W84" i="20"/>
  <c r="AB84" i="20"/>
  <c r="W85" i="20"/>
  <c r="AB85" i="20"/>
  <c r="W86" i="20"/>
  <c r="AB86" i="20"/>
  <c r="W87" i="20"/>
  <c r="AB87" i="20"/>
  <c r="W91" i="20"/>
  <c r="AB91" i="20"/>
  <c r="W92" i="20"/>
  <c r="AB92" i="20"/>
  <c r="W93" i="20"/>
  <c r="AB93" i="20"/>
  <c r="W94" i="20"/>
  <c r="AB94" i="20"/>
  <c r="W98" i="20"/>
  <c r="AB98" i="20"/>
  <c r="W99" i="20"/>
  <c r="AB99" i="20"/>
  <c r="W100" i="20"/>
  <c r="AB100" i="20"/>
  <c r="W101" i="20"/>
  <c r="AB101" i="20"/>
  <c r="W105" i="20"/>
  <c r="AB105" i="20"/>
  <c r="W106" i="20"/>
  <c r="AB106" i="20"/>
  <c r="W107" i="20"/>
  <c r="AB107" i="20"/>
  <c r="W108" i="20"/>
  <c r="AB108" i="20"/>
  <c r="I75" i="20"/>
  <c r="I76" i="20"/>
  <c r="I77" i="20"/>
  <c r="I78" i="20"/>
  <c r="I82" i="20"/>
  <c r="I83" i="20"/>
  <c r="I84" i="20"/>
  <c r="I85" i="20"/>
  <c r="I94" i="20"/>
  <c r="I95" i="20"/>
  <c r="I96" i="20"/>
  <c r="I97" i="20"/>
  <c r="I101" i="20"/>
  <c r="I102" i="20"/>
  <c r="I103" i="20"/>
  <c r="I104" i="20"/>
  <c r="I108" i="20"/>
  <c r="I109" i="20"/>
  <c r="I110" i="20"/>
  <c r="I111" i="20"/>
  <c r="I115" i="20"/>
  <c r="I116" i="20"/>
  <c r="I117" i="20"/>
  <c r="I118" i="20"/>
  <c r="J75" i="20"/>
  <c r="J76" i="20"/>
  <c r="J77" i="20"/>
  <c r="J78" i="20"/>
  <c r="J82" i="20"/>
  <c r="J83" i="20"/>
  <c r="J84" i="20"/>
  <c r="J85" i="20"/>
  <c r="J94" i="20"/>
  <c r="J95" i="20"/>
  <c r="J96" i="20"/>
  <c r="J97" i="20"/>
  <c r="J101" i="20"/>
  <c r="J102" i="20"/>
  <c r="J103" i="20"/>
  <c r="J104" i="20"/>
  <c r="J108" i="20"/>
  <c r="J109" i="20"/>
  <c r="J110" i="20"/>
  <c r="J111" i="20"/>
  <c r="J115" i="20"/>
  <c r="J116" i="20"/>
  <c r="J117" i="20"/>
  <c r="J118" i="20"/>
  <c r="S114" i="20"/>
  <c r="R114" i="20"/>
  <c r="E114" i="20"/>
  <c r="S125" i="20"/>
  <c r="D114" i="20"/>
  <c r="R125" i="20"/>
  <c r="T107" i="20"/>
  <c r="S107" i="20"/>
  <c r="R107" i="20"/>
  <c r="F107" i="20"/>
  <c r="E107" i="20"/>
  <c r="D107" i="20"/>
  <c r="U100" i="20"/>
  <c r="T100" i="20"/>
  <c r="S100" i="20"/>
  <c r="R100" i="20"/>
  <c r="G100" i="20"/>
  <c r="F100" i="20"/>
  <c r="E100" i="20"/>
  <c r="I100" i="20"/>
  <c r="D100" i="20"/>
  <c r="V93" i="20"/>
  <c r="U93" i="20"/>
  <c r="F180" i="20"/>
  <c r="T93" i="20"/>
  <c r="S93" i="20"/>
  <c r="D180" i="20"/>
  <c r="R93" i="20"/>
  <c r="C180" i="20"/>
  <c r="H93" i="20"/>
  <c r="G181" i="20"/>
  <c r="G93" i="20"/>
  <c r="F181" i="20"/>
  <c r="F93" i="20"/>
  <c r="E181" i="20"/>
  <c r="E93" i="20"/>
  <c r="D181" i="20"/>
  <c r="D93" i="20"/>
  <c r="S81" i="20"/>
  <c r="R81" i="20"/>
  <c r="E81" i="20"/>
  <c r="D81" i="20"/>
  <c r="T74" i="20"/>
  <c r="S74" i="20"/>
  <c r="R74" i="20"/>
  <c r="F74" i="20"/>
  <c r="E74" i="20"/>
  <c r="D74" i="20"/>
  <c r="U67" i="20"/>
  <c r="T67" i="20"/>
  <c r="S67" i="20"/>
  <c r="R67" i="20"/>
  <c r="G67" i="20"/>
  <c r="F67" i="20"/>
  <c r="E67" i="20"/>
  <c r="D67" i="20"/>
  <c r="V60" i="20"/>
  <c r="AC57" i="20"/>
  <c r="U60" i="20"/>
  <c r="T60" i="20"/>
  <c r="S60" i="20"/>
  <c r="AD57" i="20"/>
  <c r="R60" i="20"/>
  <c r="H60" i="20"/>
  <c r="G60" i="20"/>
  <c r="F60" i="20"/>
  <c r="E60" i="20"/>
  <c r="D60" i="20"/>
  <c r="E48" i="20"/>
  <c r="D48" i="20"/>
  <c r="F42" i="20"/>
  <c r="E42" i="20"/>
  <c r="D42" i="20"/>
  <c r="G36" i="20"/>
  <c r="F36" i="20"/>
  <c r="E36" i="20"/>
  <c r="N95" i="9"/>
  <c r="O95" i="9"/>
  <c r="P95" i="9"/>
  <c r="M95" i="9"/>
  <c r="Q60" i="9"/>
  <c r="P60" i="9"/>
  <c r="O60" i="9"/>
  <c r="N60" i="9"/>
  <c r="M60" i="9"/>
  <c r="N89" i="9"/>
  <c r="O89" i="9"/>
  <c r="P89" i="9"/>
  <c r="Q89" i="9"/>
  <c r="M89" i="9"/>
  <c r="N78" i="9"/>
  <c r="M78" i="9"/>
  <c r="N66" i="9"/>
  <c r="O66" i="9"/>
  <c r="P66" i="9"/>
  <c r="M66" i="9"/>
  <c r="N107" i="9"/>
  <c r="M107" i="9"/>
  <c r="N101" i="9"/>
  <c r="O101" i="9"/>
  <c r="M101" i="9"/>
  <c r="N72" i="9"/>
  <c r="O72" i="9"/>
  <c r="M72" i="9"/>
  <c r="E78" i="9"/>
  <c r="D78" i="9"/>
  <c r="E107" i="9"/>
  <c r="D107" i="9"/>
  <c r="E101" i="9"/>
  <c r="F101" i="9"/>
  <c r="D101" i="9"/>
  <c r="E72" i="9"/>
  <c r="F72" i="9"/>
  <c r="D72" i="9"/>
  <c r="E66" i="9"/>
  <c r="F66" i="9"/>
  <c r="G66" i="9"/>
  <c r="D66" i="9"/>
  <c r="H60" i="9"/>
  <c r="G60" i="9"/>
  <c r="F60" i="9"/>
  <c r="E60" i="9"/>
  <c r="D60" i="9"/>
  <c r="E95" i="9"/>
  <c r="F95" i="9"/>
  <c r="G95" i="9"/>
  <c r="D95" i="9"/>
  <c r="E89" i="9"/>
  <c r="F89" i="9"/>
  <c r="G89" i="9"/>
  <c r="H89" i="9"/>
  <c r="D89" i="9"/>
  <c r="D11" i="18"/>
  <c r="E11" i="18"/>
  <c r="Q132" i="19"/>
  <c r="Q125" i="19"/>
  <c r="C132" i="19"/>
  <c r="C125" i="19"/>
  <c r="Q93" i="19"/>
  <c r="Q86" i="19"/>
  <c r="C93" i="19"/>
  <c r="C86" i="19"/>
  <c r="C8" i="19"/>
  <c r="C15" i="19"/>
  <c r="C53" i="19"/>
  <c r="C46" i="19"/>
  <c r="R3" i="17"/>
  <c r="R4" i="17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2" i="17"/>
  <c r="Q67" i="2"/>
  <c r="R67" i="2"/>
  <c r="P67" i="2"/>
  <c r="R66" i="2"/>
  <c r="Q66" i="2"/>
  <c r="P66" i="2"/>
  <c r="Q65" i="2"/>
  <c r="R65" i="2"/>
  <c r="P65" i="2"/>
  <c r="Q64" i="2"/>
  <c r="P64" i="2"/>
  <c r="R64" i="2"/>
  <c r="Q63" i="2"/>
  <c r="R63" i="2"/>
  <c r="P63" i="2"/>
  <c r="R62" i="2"/>
  <c r="Q62" i="2"/>
  <c r="P62" i="2"/>
  <c r="Q61" i="2"/>
  <c r="R61" i="2"/>
  <c r="P61" i="2"/>
  <c r="Q60" i="2"/>
  <c r="P60" i="2"/>
  <c r="R60" i="2"/>
  <c r="Q59" i="2"/>
  <c r="R59" i="2"/>
  <c r="P59" i="2"/>
  <c r="R58" i="2"/>
  <c r="Q58" i="2"/>
  <c r="P58" i="2"/>
  <c r="Q57" i="2"/>
  <c r="R57" i="2"/>
  <c r="P57" i="2"/>
  <c r="Q56" i="2"/>
  <c r="P56" i="2"/>
  <c r="R56" i="2"/>
  <c r="Q55" i="2"/>
  <c r="R55" i="2"/>
  <c r="P55" i="2"/>
  <c r="R54" i="2"/>
  <c r="Q54" i="2"/>
  <c r="P54" i="2"/>
  <c r="Q53" i="2"/>
  <c r="R53" i="2"/>
  <c r="P53" i="2"/>
  <c r="Q52" i="2"/>
  <c r="P52" i="2"/>
  <c r="R52" i="2"/>
  <c r="Q51" i="2"/>
  <c r="R51" i="2"/>
  <c r="P51" i="2"/>
  <c r="R50" i="2"/>
  <c r="Q50" i="2"/>
  <c r="P50" i="2"/>
  <c r="Q49" i="2"/>
  <c r="R49" i="2"/>
  <c r="P49" i="2"/>
  <c r="Q48" i="2"/>
  <c r="P48" i="2"/>
  <c r="R48" i="2"/>
  <c r="Q47" i="2"/>
  <c r="R47" i="2"/>
  <c r="P47" i="2"/>
  <c r="R46" i="2"/>
  <c r="Q46" i="2"/>
  <c r="P46" i="2"/>
  <c r="E48" i="9"/>
  <c r="D48" i="9"/>
  <c r="F42" i="9"/>
  <c r="E42" i="9"/>
  <c r="D42" i="9"/>
  <c r="G36" i="9"/>
  <c r="F36" i="9"/>
  <c r="E36" i="9"/>
  <c r="O14" i="11"/>
  <c r="G32" i="11"/>
  <c r="C32" i="11"/>
  <c r="E15" i="11"/>
  <c r="D15" i="11"/>
  <c r="C15" i="11"/>
  <c r="O15" i="11"/>
  <c r="G30" i="11"/>
  <c r="F30" i="11"/>
  <c r="E30" i="11"/>
  <c r="D30" i="11"/>
  <c r="C30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O13" i="11"/>
  <c r="G28" i="11"/>
  <c r="F28" i="11"/>
  <c r="E28" i="11"/>
  <c r="D28" i="11"/>
  <c r="C28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O10" i="11"/>
  <c r="O11" i="11"/>
  <c r="G26" i="11"/>
  <c r="F26" i="11"/>
  <c r="E26" i="11"/>
  <c r="D26" i="11"/>
  <c r="C26" i="11"/>
  <c r="N9" i="11"/>
  <c r="M9" i="11"/>
  <c r="L9" i="11"/>
  <c r="K9" i="11"/>
  <c r="J9" i="11"/>
  <c r="I9" i="11"/>
  <c r="H9" i="11"/>
  <c r="G9" i="11"/>
  <c r="F9" i="11"/>
  <c r="E9" i="11"/>
  <c r="D9" i="11"/>
  <c r="C9" i="11"/>
  <c r="O8" i="11"/>
  <c r="O9" i="11"/>
  <c r="G24" i="11"/>
  <c r="F24" i="11"/>
  <c r="E24" i="11"/>
  <c r="D24" i="11"/>
  <c r="C24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O6" i="11"/>
  <c r="G22" i="11"/>
  <c r="F22" i="11"/>
  <c r="N5" i="11"/>
  <c r="M5" i="11"/>
  <c r="L5" i="11"/>
  <c r="O4" i="11"/>
  <c r="O5" i="11"/>
  <c r="H52" i="13"/>
  <c r="T51" i="13"/>
  <c r="H51" i="13"/>
  <c r="S50" i="13"/>
  <c r="Q50" i="13"/>
  <c r="P50" i="13"/>
  <c r="O50" i="13"/>
  <c r="N50" i="13"/>
  <c r="M50" i="13"/>
  <c r="L50" i="13"/>
  <c r="K50" i="13"/>
  <c r="J50" i="13"/>
  <c r="I50" i="13"/>
  <c r="R50" i="13"/>
  <c r="H50" i="13"/>
  <c r="Q49" i="13"/>
  <c r="P49" i="13"/>
  <c r="O49" i="13"/>
  <c r="N49" i="13"/>
  <c r="S49" i="13"/>
  <c r="T49" i="13"/>
  <c r="M49" i="13"/>
  <c r="L49" i="13"/>
  <c r="K49" i="13"/>
  <c r="J49" i="13"/>
  <c r="I49" i="13"/>
  <c r="R49" i="13"/>
  <c r="H49" i="13"/>
  <c r="T48" i="13"/>
  <c r="H48" i="13"/>
  <c r="T47" i="13"/>
  <c r="H47" i="13"/>
  <c r="T46" i="13"/>
  <c r="H46" i="13"/>
  <c r="S45" i="13"/>
  <c r="Q45" i="13"/>
  <c r="P45" i="13"/>
  <c r="O45" i="13"/>
  <c r="N45" i="13"/>
  <c r="M45" i="13"/>
  <c r="L45" i="13"/>
  <c r="K45" i="13"/>
  <c r="J45" i="13"/>
  <c r="I45" i="13"/>
  <c r="R45" i="13"/>
  <c r="H45" i="13"/>
  <c r="Q44" i="13"/>
  <c r="P44" i="13"/>
  <c r="O44" i="13"/>
  <c r="N44" i="13"/>
  <c r="S44" i="13"/>
  <c r="T44" i="13"/>
  <c r="M44" i="13"/>
  <c r="L44" i="13"/>
  <c r="K44" i="13"/>
  <c r="J44" i="13"/>
  <c r="I44" i="13"/>
  <c r="R44" i="13"/>
  <c r="H44" i="13"/>
  <c r="T43" i="13"/>
  <c r="H43" i="13"/>
  <c r="T42" i="13"/>
  <c r="H42" i="13"/>
  <c r="T41" i="13"/>
  <c r="H41" i="13"/>
  <c r="S40" i="13"/>
  <c r="Q40" i="13"/>
  <c r="P40" i="13"/>
  <c r="O40" i="13"/>
  <c r="N40" i="13"/>
  <c r="M40" i="13"/>
  <c r="L40" i="13"/>
  <c r="K40" i="13"/>
  <c r="J40" i="13"/>
  <c r="I40" i="13"/>
  <c r="R40" i="13"/>
  <c r="H40" i="13"/>
  <c r="Q39" i="13"/>
  <c r="P39" i="13"/>
  <c r="O39" i="13"/>
  <c r="N39" i="13"/>
  <c r="S39" i="13"/>
  <c r="M39" i="13"/>
  <c r="L39" i="13"/>
  <c r="K39" i="13"/>
  <c r="J39" i="13"/>
  <c r="I39" i="13"/>
  <c r="R39" i="13"/>
  <c r="H39" i="13"/>
  <c r="T38" i="13"/>
  <c r="H38" i="13"/>
  <c r="T37" i="13"/>
  <c r="H37" i="13"/>
  <c r="T36" i="13"/>
  <c r="H36" i="13"/>
  <c r="S35" i="13"/>
  <c r="T35" i="13"/>
  <c r="Q35" i="13"/>
  <c r="P35" i="13"/>
  <c r="O35" i="13"/>
  <c r="N35" i="13"/>
  <c r="M35" i="13"/>
  <c r="L35" i="13"/>
  <c r="K35" i="13"/>
  <c r="J35" i="13"/>
  <c r="I35" i="13"/>
  <c r="R35" i="13"/>
  <c r="H35" i="13"/>
  <c r="Q34" i="13"/>
  <c r="P34" i="13"/>
  <c r="O34" i="13"/>
  <c r="N34" i="13"/>
  <c r="S34" i="13"/>
  <c r="T34" i="13"/>
  <c r="M34" i="13"/>
  <c r="L34" i="13"/>
  <c r="K34" i="13"/>
  <c r="J34" i="13"/>
  <c r="I34" i="13"/>
  <c r="R34" i="13"/>
  <c r="H34" i="13"/>
  <c r="T33" i="13"/>
  <c r="H33" i="13"/>
  <c r="T32" i="13"/>
  <c r="H32" i="13"/>
  <c r="T31" i="13"/>
  <c r="H31" i="13"/>
  <c r="S30" i="13"/>
  <c r="Q30" i="13"/>
  <c r="P30" i="13"/>
  <c r="O30" i="13"/>
  <c r="N30" i="13"/>
  <c r="M30" i="13"/>
  <c r="L30" i="13"/>
  <c r="K30" i="13"/>
  <c r="J30" i="13"/>
  <c r="I30" i="13"/>
  <c r="R30" i="13"/>
  <c r="H30" i="13"/>
  <c r="Q29" i="13"/>
  <c r="P29" i="13"/>
  <c r="O29" i="13"/>
  <c r="N29" i="13"/>
  <c r="S29" i="13"/>
  <c r="M29" i="13"/>
  <c r="L29" i="13"/>
  <c r="K29" i="13"/>
  <c r="J29" i="13"/>
  <c r="I29" i="13"/>
  <c r="R29" i="13"/>
  <c r="H29" i="13"/>
  <c r="T28" i="13"/>
  <c r="H28" i="13"/>
  <c r="T27" i="13"/>
  <c r="H27" i="13"/>
  <c r="T26" i="13"/>
  <c r="H26" i="13"/>
  <c r="S25" i="13"/>
  <c r="Q25" i="13"/>
  <c r="P25" i="13"/>
  <c r="O25" i="13"/>
  <c r="N25" i="13"/>
  <c r="M25" i="13"/>
  <c r="L25" i="13"/>
  <c r="K25" i="13"/>
  <c r="J25" i="13"/>
  <c r="I25" i="13"/>
  <c r="R25" i="13"/>
  <c r="H25" i="13"/>
  <c r="Q24" i="13"/>
  <c r="P24" i="13"/>
  <c r="O24" i="13"/>
  <c r="N24" i="13"/>
  <c r="S24" i="13"/>
  <c r="T24" i="13"/>
  <c r="M24" i="13"/>
  <c r="L24" i="13"/>
  <c r="K24" i="13"/>
  <c r="J24" i="13"/>
  <c r="I24" i="13"/>
  <c r="R24" i="13"/>
  <c r="H24" i="13"/>
  <c r="T23" i="13"/>
  <c r="H23" i="13"/>
  <c r="T22" i="13"/>
  <c r="H22" i="13"/>
  <c r="T21" i="13"/>
  <c r="H21" i="13"/>
  <c r="S20" i="13"/>
  <c r="Q20" i="13"/>
  <c r="P20" i="13"/>
  <c r="O20" i="13"/>
  <c r="N20" i="13"/>
  <c r="M20" i="13"/>
  <c r="L20" i="13"/>
  <c r="K20" i="13"/>
  <c r="J20" i="13"/>
  <c r="I20" i="13"/>
  <c r="R20" i="13"/>
  <c r="H20" i="13"/>
  <c r="Q19" i="13"/>
  <c r="P19" i="13"/>
  <c r="O19" i="13"/>
  <c r="N19" i="13"/>
  <c r="S19" i="13"/>
  <c r="T19" i="13"/>
  <c r="M19" i="13"/>
  <c r="L19" i="13"/>
  <c r="K19" i="13"/>
  <c r="J19" i="13"/>
  <c r="I19" i="13"/>
  <c r="R19" i="13"/>
  <c r="H19" i="13"/>
  <c r="T18" i="13"/>
  <c r="H18" i="13"/>
  <c r="T17" i="13"/>
  <c r="H17" i="13"/>
  <c r="T16" i="13"/>
  <c r="H16" i="13"/>
  <c r="S15" i="13"/>
  <c r="T15" i="13"/>
  <c r="Q15" i="13"/>
  <c r="P15" i="13"/>
  <c r="O15" i="13"/>
  <c r="N15" i="13"/>
  <c r="M15" i="13"/>
  <c r="L15" i="13"/>
  <c r="K15" i="13"/>
  <c r="J15" i="13"/>
  <c r="I15" i="13"/>
  <c r="R15" i="13"/>
  <c r="H15" i="13"/>
  <c r="Q14" i="13"/>
  <c r="P14" i="13"/>
  <c r="O14" i="13"/>
  <c r="N14" i="13"/>
  <c r="S14" i="13"/>
  <c r="M14" i="13"/>
  <c r="L14" i="13"/>
  <c r="K14" i="13"/>
  <c r="J14" i="13"/>
  <c r="I14" i="13"/>
  <c r="R14" i="13"/>
  <c r="H14" i="13"/>
  <c r="T13" i="13"/>
  <c r="H13" i="13"/>
  <c r="T12" i="13"/>
  <c r="H12" i="13"/>
  <c r="T11" i="13"/>
  <c r="H11" i="13"/>
  <c r="S10" i="13"/>
  <c r="Q10" i="13"/>
  <c r="P10" i="13"/>
  <c r="O10" i="13"/>
  <c r="N10" i="13"/>
  <c r="M10" i="13"/>
  <c r="L10" i="13"/>
  <c r="K10" i="13"/>
  <c r="J10" i="13"/>
  <c r="I10" i="13"/>
  <c r="R10" i="13"/>
  <c r="H10" i="13"/>
  <c r="Q9" i="13"/>
  <c r="P9" i="13"/>
  <c r="O9" i="13"/>
  <c r="N9" i="13"/>
  <c r="S9" i="13"/>
  <c r="T9" i="13"/>
  <c r="M9" i="13"/>
  <c r="L9" i="13"/>
  <c r="K9" i="13"/>
  <c r="J9" i="13"/>
  <c r="I9" i="13"/>
  <c r="R9" i="13"/>
  <c r="H9" i="13"/>
  <c r="T8" i="13"/>
  <c r="H8" i="13"/>
  <c r="T7" i="13"/>
  <c r="H7" i="13"/>
  <c r="T6" i="13"/>
  <c r="H6" i="13"/>
  <c r="S5" i="13"/>
  <c r="Q5" i="13"/>
  <c r="P5" i="13"/>
  <c r="O5" i="13"/>
  <c r="N5" i="13"/>
  <c r="M5" i="13"/>
  <c r="L5" i="13"/>
  <c r="K5" i="13"/>
  <c r="J5" i="13"/>
  <c r="I5" i="13"/>
  <c r="R5" i="13"/>
  <c r="H5" i="13"/>
  <c r="Q4" i="13"/>
  <c r="P4" i="13"/>
  <c r="O4" i="13"/>
  <c r="N4" i="13"/>
  <c r="S4" i="13"/>
  <c r="T4" i="13"/>
  <c r="M4" i="13"/>
  <c r="L4" i="13"/>
  <c r="K4" i="13"/>
  <c r="J4" i="13"/>
  <c r="I4" i="13"/>
  <c r="R4" i="13"/>
  <c r="H4" i="13"/>
  <c r="T3" i="13"/>
  <c r="H3" i="13"/>
  <c r="T2" i="13"/>
  <c r="H2" i="13"/>
  <c r="R45" i="2"/>
  <c r="R43" i="2"/>
  <c r="R41" i="2"/>
  <c r="R39" i="2"/>
  <c r="R37" i="2"/>
  <c r="R35" i="2"/>
  <c r="R33" i="2"/>
  <c r="R31" i="2"/>
  <c r="R29" i="2"/>
  <c r="R27" i="2"/>
  <c r="R25" i="2"/>
  <c r="R23" i="2"/>
  <c r="R21" i="2"/>
  <c r="R19" i="2"/>
  <c r="R17" i="2"/>
  <c r="R15" i="2"/>
  <c r="R13" i="2"/>
  <c r="R11" i="2"/>
  <c r="R9" i="2"/>
  <c r="R7" i="2"/>
  <c r="R5" i="2"/>
  <c r="R3" i="2"/>
  <c r="R44" i="2"/>
  <c r="R42" i="2"/>
  <c r="R40" i="2"/>
  <c r="R38" i="2"/>
  <c r="R36" i="2"/>
  <c r="R34" i="2"/>
  <c r="R32" i="2"/>
  <c r="R30" i="2"/>
  <c r="R28" i="2"/>
  <c r="R26" i="2"/>
  <c r="R24" i="2"/>
  <c r="R22" i="2"/>
  <c r="R20" i="2"/>
  <c r="R18" i="2"/>
  <c r="R16" i="2"/>
  <c r="R14" i="2"/>
  <c r="R12" i="2"/>
  <c r="R10" i="2"/>
  <c r="R8" i="2"/>
  <c r="R6" i="2"/>
  <c r="R4" i="2"/>
  <c r="R2" i="2"/>
  <c r="T50" i="13"/>
  <c r="T25" i="13"/>
  <c r="T40" i="13"/>
  <c r="T30" i="13"/>
  <c r="T39" i="13"/>
  <c r="T5" i="13"/>
  <c r="T14" i="13"/>
  <c r="T45" i="13"/>
  <c r="T20" i="13"/>
  <c r="T29" i="13"/>
  <c r="T10" i="13"/>
  <c r="Y9" i="23"/>
  <c r="Y13" i="23"/>
  <c r="Y11" i="23"/>
  <c r="R124" i="20"/>
  <c r="AG117" i="20"/>
  <c r="S124" i="20"/>
  <c r="W114" i="20"/>
  <c r="AG118" i="20"/>
  <c r="AB90" i="20"/>
  <c r="I93" i="20"/>
  <c r="I81" i="20"/>
  <c r="W90" i="20"/>
  <c r="I60" i="20"/>
  <c r="J81" i="20"/>
  <c r="C181" i="20"/>
  <c r="J114" i="20"/>
  <c r="R129" i="20"/>
  <c r="AC93" i="20"/>
  <c r="W83" i="20"/>
  <c r="J100" i="20"/>
  <c r="W97" i="20"/>
  <c r="AB97" i="20"/>
  <c r="I74" i="20"/>
  <c r="J93" i="20"/>
  <c r="K92" i="20"/>
  <c r="K94" i="20"/>
  <c r="I107" i="20"/>
  <c r="I114" i="20"/>
  <c r="AB104" i="20"/>
  <c r="R128" i="20"/>
  <c r="J107" i="20"/>
  <c r="AC97" i="20"/>
  <c r="AC95" i="20"/>
  <c r="J74" i="20"/>
  <c r="AB83" i="20"/>
  <c r="AC92" i="20"/>
  <c r="W104" i="20"/>
  <c r="AC94" i="20"/>
  <c r="K93" i="20"/>
  <c r="K97" i="20"/>
  <c r="K95" i="20"/>
  <c r="E180" i="20"/>
  <c r="G180" i="20"/>
  <c r="AG119" i="20"/>
  <c r="AG120" i="20"/>
</calcChain>
</file>

<file path=xl/comments1.xml><?xml version="1.0" encoding="utf-8"?>
<comments xmlns="http://schemas.openxmlformats.org/spreadsheetml/2006/main">
  <authors>
    <author>Yixuan Huang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Yixuan Huang:</t>
        </r>
        <r>
          <rPr>
            <sz val="9"/>
            <color indexed="81"/>
            <rFont val="Tahoma"/>
            <family val="2"/>
          </rPr>
          <t xml:space="preserve">
including vague &amp; unspecified desicions</t>
        </r>
      </text>
    </comment>
  </commentList>
</comments>
</file>

<file path=xl/sharedStrings.xml><?xml version="1.0" encoding="utf-8"?>
<sst xmlns="http://schemas.openxmlformats.org/spreadsheetml/2006/main" count="4022" uniqueCount="671">
  <si>
    <t>Build out a simple summary chart of topline findings (can do this last)</t>
  </si>
  <si>
    <t>CBPP Collected Data from States</t>
  </si>
  <si>
    <t>Month</t>
  </si>
  <si>
    <t>Caseload</t>
  </si>
  <si>
    <t>Case Closures</t>
  </si>
  <si>
    <t>pct chg</t>
  </si>
  <si>
    <t>avg</t>
  </si>
  <si>
    <t>Household structure</t>
  </si>
  <si>
    <t>Time of exit</t>
  </si>
  <si>
    <t>Reason for Exit</t>
  </si>
  <si>
    <t>$50 and others</t>
  </si>
  <si>
    <t>Earnings</t>
  </si>
  <si>
    <t>n =</t>
  </si>
  <si>
    <t>4 qtrs. Before</t>
  </si>
  <si>
    <t>3 qtrs. Before</t>
  </si>
  <si>
    <t>2 qtrs. Before</t>
  </si>
  <si>
    <t>1 qtr. Before</t>
  </si>
  <si>
    <t>Exit qtr.</t>
  </si>
  <si>
    <t>1 qtr. After</t>
  </si>
  <si>
    <t>2 qtrs. After</t>
  </si>
  <si>
    <t>3 qtrs. After</t>
  </si>
  <si>
    <t>4 qtrs. After</t>
  </si>
  <si>
    <t>Mean / median annual earnings the year before exit</t>
  </si>
  <si>
    <t>Mean / median annual earnings the year after exit</t>
  </si>
  <si>
    <t>All</t>
  </si>
  <si>
    <t>Any time before 2015 qtr 1</t>
  </si>
  <si>
    <t>Any reason</t>
  </si>
  <si>
    <t>Mean Earnings</t>
  </si>
  <si>
    <t>Median Earnings</t>
  </si>
  <si>
    <t>2014 qtr 2 - 2015 qtr 1</t>
  </si>
  <si>
    <t>2013 qtr 2 - 2014 qtr 1</t>
  </si>
  <si>
    <t>2012 qtr 2 - 2013 qtr 1</t>
  </si>
  <si>
    <t>2011 qtr 2 - 2012 qtr1</t>
  </si>
  <si>
    <t>Excess income (clos_rnk = 6)</t>
  </si>
  <si>
    <t>Vague or unspecified household decision (clos_rnk = 5)</t>
  </si>
  <si>
    <t>Work requirement (clos_rnk = 2)</t>
  </si>
  <si>
    <t>Not post-TANF</t>
  </si>
  <si>
    <t>Post-TANF</t>
  </si>
  <si>
    <t>One-parent</t>
  </si>
  <si>
    <t xml:space="preserve">Earnings Data by Cohort, All Households and both family types with WR closure code, mean/median includes those with and without earnings </t>
  </si>
  <si>
    <t xml:space="preserve">Earnings Data by Cohort, All Households and both family types, mean/median includes those with and without earnings </t>
  </si>
  <si>
    <t>Cohort</t>
  </si>
  <si>
    <t>Sample</t>
  </si>
  <si>
    <t>Data</t>
  </si>
  <si>
    <t>Baseline (1 yr before exit qtr)</t>
  </si>
  <si>
    <t>1 Year Later</t>
  </si>
  <si>
    <t>2 Years Later</t>
  </si>
  <si>
    <t>3 Years Later</t>
  </si>
  <si>
    <t>4 Years Later</t>
  </si>
  <si>
    <t>2012 Leavers (2011 qtr 2 - 2012 qtr 1)</t>
  </si>
  <si>
    <t>Sum</t>
  </si>
  <si>
    <t>Mean - all</t>
  </si>
  <si>
    <t>Mean - ppl w/ earnings</t>
  </si>
  <si>
    <t>Median - all</t>
  </si>
  <si>
    <t>Median - ppl w/ earnings</t>
  </si>
  <si>
    <t>Number with Earnings</t>
  </si>
  <si>
    <t>684 (63.7%)</t>
  </si>
  <si>
    <t>687 (64.0%)</t>
  </si>
  <si>
    <t>689 (64.2%)</t>
  </si>
  <si>
    <t>677 (63.0%)</t>
  </si>
  <si>
    <t>3,623 (70.0%)</t>
  </si>
  <si>
    <t>3,571 (69.0%)</t>
  </si>
  <si>
    <t>3,447 (66.6%)</t>
  </si>
  <si>
    <t>3,355 (64.8%)</t>
  </si>
  <si>
    <t>3,251 (62.8%)</t>
  </si>
  <si>
    <t>2013 Leavers (2012 qtr 2 - 2013 qtr 1)</t>
  </si>
  <si>
    <t>NA</t>
  </si>
  <si>
    <t>923 (64.1%)</t>
  </si>
  <si>
    <t>924 (64.2%)</t>
  </si>
  <si>
    <t>926 (64.3%)</t>
  </si>
  <si>
    <t>918 (63.8%)</t>
  </si>
  <si>
    <t>4,698 (68.9%)</t>
  </si>
  <si>
    <t>4,637 (68.1%)</t>
  </si>
  <si>
    <t>4,471 (65.6%)</t>
  </si>
  <si>
    <t>4,405 (64.6%)</t>
  </si>
  <si>
    <t>2014 Leavers (2013 qtr 2 - 2014 qtr 1)</t>
  </si>
  <si>
    <t>1261 (67.0%)</t>
  </si>
  <si>
    <t>1306 (69.4%)</t>
  </si>
  <si>
    <t>1266 (67.3%)</t>
  </si>
  <si>
    <t>3,811 (71.0%)</t>
  </si>
  <si>
    <t>3,857 (71.9%)</t>
  </si>
  <si>
    <t>3,640 (67.8%)</t>
  </si>
  <si>
    <t>2015 Leavers (2014 qtr 2 - 2015 qtr 1)</t>
  </si>
  <si>
    <t>1207 (71.2%)</t>
  </si>
  <si>
    <t>1235 (72.9%)</t>
  </si>
  <si>
    <t>3,883 (75.4%)</t>
  </si>
  <si>
    <t>3,804 (73.9%)</t>
  </si>
  <si>
    <t>Mean of all</t>
  </si>
  <si>
    <t>3,571 (67.9%)</t>
  </si>
  <si>
    <t>2012/2013 Leavers (2011 qtr 2 - 2013 qtr 1)</t>
  </si>
  <si>
    <t>1607 (63.9%)</t>
  </si>
  <si>
    <t>1611 (64.1%)</t>
  </si>
  <si>
    <t>1613 (64.2%)</t>
  </si>
  <si>
    <t>8,321 (69.4%)</t>
  </si>
  <si>
    <t>8,208 (68.5%)</t>
  </si>
  <si>
    <t>7,918 (66.0%)</t>
  </si>
  <si>
    <t>7,760 (64.7%)</t>
  </si>
  <si>
    <t>2012-2014 Leavers (2011 qtr 2 - 2014 qtr 1)</t>
  </si>
  <si>
    <t>2868 (65.3%)</t>
  </si>
  <si>
    <t>2917 (66.4%)</t>
  </si>
  <si>
    <t>2879 (65.5%)</t>
  </si>
  <si>
    <t>12,132 (69.9%)</t>
  </si>
  <si>
    <t>12,065 (69.5%)</t>
  </si>
  <si>
    <t>11,558 (66.8%)</t>
  </si>
  <si>
    <t>2012-2015 Leavers (2011 qtr 2 - 2015 qtr 1)</t>
  </si>
  <si>
    <t>4075 (66.9%)</t>
  </si>
  <si>
    <t>4152 (68.2%)</t>
  </si>
  <si>
    <t>16,015 (71.25%)</t>
  </si>
  <si>
    <t>15,869 (70.5%)</t>
  </si>
  <si>
    <t>Adjusted for Inflation</t>
  </si>
  <si>
    <t xml:space="preserve">Earnings Data for Combined Cohorts, All Households and both family types with WR closure code, mean/median includes those with and without earnings </t>
  </si>
  <si>
    <t xml:space="preserve">Earnings Data for Combined Cohorts, All Households and both family types, mean/median includes those with and without earnings </t>
  </si>
  <si>
    <t>LINE GRAPH</t>
  </si>
  <si>
    <t>BAR CHART</t>
  </si>
  <si>
    <t>Mean Earnings, by quarter and group</t>
  </si>
  <si>
    <t>Mean Earnings among TANF Leavers, Pre- and Post-Exit</t>
  </si>
  <si>
    <t>Group</t>
  </si>
  <si>
    <t>Employed exit qtr.</t>
  </si>
  <si>
    <t>Mean Annual Earnings Year Before Exit</t>
  </si>
  <si>
    <t>Mean Annual Earnings Year After Exit</t>
  </si>
  <si>
    <t>%FPL</t>
  </si>
  <si>
    <t>Time Limt</t>
  </si>
  <si>
    <t>Work Sanction</t>
  </si>
  <si>
    <t>Work Requirement Closure</t>
  </si>
  <si>
    <t>Excess Income</t>
  </si>
  <si>
    <t>Other Reasons</t>
  </si>
  <si>
    <t>Not-Post TANF</t>
  </si>
  <si>
    <t>Vague or Unspecified</t>
  </si>
  <si>
    <t>Median Earnings, by quarter and group</t>
  </si>
  <si>
    <t>Median Earnings among TANF Leavers, Pre- and Post-Exit</t>
  </si>
  <si>
    <t>Median Annual Earnings Year Before Exit</t>
  </si>
  <si>
    <t>Median Annual Earnings Year After Exit</t>
  </si>
  <si>
    <t>Year Before Exit</t>
  </si>
  <si>
    <t>Year After Exit</t>
  </si>
  <si>
    <t>Time Limit</t>
  </si>
  <si>
    <t>All Families</t>
  </si>
  <si>
    <t>Only Families with Earnings</t>
  </si>
  <si>
    <t>Before Exit</t>
  </si>
  <si>
    <t>After Exit</t>
  </si>
  <si>
    <t>Percent Change for All Families</t>
  </si>
  <si>
    <t>Percent Change for Families with Earnings Only</t>
  </si>
  <si>
    <t>Change for All Families</t>
  </si>
  <si>
    <t>Change for Families with Earnings Only</t>
  </si>
  <si>
    <t>Work sanction</t>
  </si>
  <si>
    <t>Figure X: Families that Left TANF due to Harsh Policy Changes Had Abysmally Low Earnings</t>
  </si>
  <si>
    <t>Pre-exit</t>
  </si>
  <si>
    <t>Exit</t>
  </si>
  <si>
    <t>Change (amount)</t>
  </si>
  <si>
    <t>Change %</t>
  </si>
  <si>
    <t>Mean Earnings One Year-Post Exit, by Group and Earnings Status, and As a Share of Poverty for a family of three</t>
  </si>
  <si>
    <t xml:space="preserve">Total </t>
  </si>
  <si>
    <t>Mean</t>
  </si>
  <si>
    <t>[Share of Poverty]</t>
  </si>
  <si>
    <t>Median</t>
  </si>
  <si>
    <t>$8,531 [42.3%]</t>
  </si>
  <si>
    <t>$12,099 [60.0%]</t>
  </si>
  <si>
    <t>$5,373 [26.6%]</t>
  </si>
  <si>
    <t>$8,238 [40.9%]</t>
  </si>
  <si>
    <t>$6,028 [29.9%]</t>
  </si>
  <si>
    <t>$8,841 [43.9%]</t>
  </si>
  <si>
    <t>$14,009 [69.5%]</t>
  </si>
  <si>
    <t>$16,927 [84.0%]</t>
  </si>
  <si>
    <t>$10,434 [51.8%]</t>
  </si>
  <si>
    <t>$14,773 [73.3%]</t>
  </si>
  <si>
    <t>Excess Earnings</t>
  </si>
  <si>
    <t xml:space="preserve">Mean </t>
  </si>
  <si>
    <t>Other</t>
  </si>
  <si>
    <t>Average Earnings</t>
  </si>
  <si>
    <t>Share of Federal Poverty Level</t>
  </si>
  <si>
    <t>Famlies with Earnings Only</t>
  </si>
  <si>
    <t>Average Earnings at the 25th Percentile</t>
  </si>
  <si>
    <t>Average Earnings at the 75th Percentile</t>
  </si>
  <si>
    <t xml:space="preserve">Mean Earnings, All </t>
  </si>
  <si>
    <t>Median Earnings, All</t>
  </si>
  <si>
    <t>Mean Earnings, Families with Earnings</t>
  </si>
  <si>
    <t>Median Earnings, Families with Earnings</t>
  </si>
  <si>
    <t xml:space="preserve">Federal poverty Level </t>
  </si>
  <si>
    <t xml:space="preserve">Abs </t>
  </si>
  <si>
    <t>Pct</t>
  </si>
  <si>
    <t>Number with Earnings Since Exit</t>
  </si>
  <si>
    <t>805 (75.0%)</t>
  </si>
  <si>
    <t>863 (80.4%)</t>
  </si>
  <si>
    <t>896 (83.4%)</t>
  </si>
  <si>
    <t>3,973 (76.74%)</t>
  </si>
  <si>
    <t>4,167 (80.49%)</t>
  </si>
  <si>
    <t>4,285 (82.77%)</t>
  </si>
  <si>
    <t>1,083 (75.2%)</t>
  </si>
  <si>
    <t>1,156 (80.3%)</t>
  </si>
  <si>
    <t>5,137 (75.39%)</t>
  </si>
  <si>
    <t>5,415 (79.47%)</t>
  </si>
  <si>
    <t>1,474 (78.4%)</t>
  </si>
  <si>
    <t>4,223 (78.71%)</t>
  </si>
  <si>
    <t>1,607 (63.9%)</t>
  </si>
  <si>
    <t>1,888 (75.1%)</t>
  </si>
  <si>
    <t>2,019 (80.3%)</t>
  </si>
  <si>
    <t>9,110 (75.97%)</t>
  </si>
  <si>
    <t>9,582 (79.91%)</t>
  </si>
  <si>
    <t>3,362 (76.5%)</t>
  </si>
  <si>
    <t>13,333 (76.03%)</t>
  </si>
  <si>
    <t>Total Earnings</t>
  </si>
  <si>
    <t xml:space="preserve"> </t>
  </si>
  <si>
    <t>Number with Earnings Since Baseline</t>
  </si>
  <si>
    <t>Year Before Exit Quarter</t>
  </si>
  <si>
    <t>Year After Exit Quarter</t>
  </si>
  <si>
    <t>All, Pre</t>
  </si>
  <si>
    <t>All, Post</t>
  </si>
  <si>
    <t xml:space="preserve">WS, Pre </t>
  </si>
  <si>
    <t>WS, Post</t>
  </si>
  <si>
    <t>Percent Change</t>
  </si>
  <si>
    <t>FPL Family of 3</t>
  </si>
  <si>
    <t xml:space="preserve">Earnings as a Share of FPL </t>
  </si>
  <si>
    <t>Ever Worked During Study Period</t>
  </si>
  <si>
    <t>Year Four After Exit</t>
  </si>
  <si>
    <t>WS</t>
  </si>
  <si>
    <t>FGA numbers</t>
  </si>
  <si>
    <t>multiply the mean of sample 4 by 6090</t>
  </si>
  <si>
    <t>Baseline (excluding exit qtr)</t>
  </si>
  <si>
    <t>19.5 M ?</t>
  </si>
  <si>
    <t>27.05M</t>
  </si>
  <si>
    <t>Baseline (including exit qtr)</t>
  </si>
  <si>
    <t>24.19M</t>
  </si>
  <si>
    <t>19.52M</t>
  </si>
  <si>
    <t>1yr</t>
  </si>
  <si>
    <t>39.8 M</t>
  </si>
  <si>
    <t>2yr</t>
  </si>
  <si>
    <t>48.0 M</t>
  </si>
  <si>
    <t>3yr</t>
  </si>
  <si>
    <t>52.2 M</t>
  </si>
  <si>
    <t>4yr</t>
  </si>
  <si>
    <t>67.6 M</t>
  </si>
  <si>
    <t>Baseline</t>
  </si>
  <si>
    <t>2 Year Later</t>
  </si>
  <si>
    <t>3 Year Later</t>
  </si>
  <si>
    <t>4 Year Later</t>
  </si>
  <si>
    <t>Actual mean annual earnings for 2012 cohort</t>
  </si>
  <si>
    <t>Calculation based on Earnings of 2012 Cohort</t>
  </si>
  <si>
    <t>FGA Numbers</t>
  </si>
  <si>
    <t>Mean Earnings for 2012 Cohort</t>
  </si>
  <si>
    <t>FGA Mean Earnings Estimates</t>
  </si>
  <si>
    <t>Mean Earnings for Full Sample (6,090); years 2,3, and 4 not available</t>
  </si>
  <si>
    <t>/</t>
  </si>
  <si>
    <t>Mean Earnings, Actual and Different Assumptions</t>
  </si>
  <si>
    <t>Mean Earnings for 2012 Cohort, 
Excluding Families with No Earnings</t>
  </si>
  <si>
    <t>Mean Earnings for Full Sample (6,090), 
Actual Data, Years 1 and 2 only available</t>
  </si>
  <si>
    <t>FGA's Extrapolated Calculation</t>
  </si>
  <si>
    <t>Actual Earnings Data, Smaller 2012 Cohort</t>
  </si>
  <si>
    <t>Actual Earnings Data, Full 2012-2015 Cohort</t>
  </si>
  <si>
    <r>
      <t xml:space="preserve">FGA Overeggerates Earnings and Earnings Growth For Kansan Parents Terminated from TANF Due to a Work Sanction
</t>
    </r>
    <r>
      <rPr>
        <i/>
        <sz val="11"/>
        <color theme="1"/>
        <rFont val="Calibri"/>
        <family val="2"/>
        <scheme val="minor"/>
      </rPr>
      <t>Annual Earnings in Millions (Actual Earnings are Adjusted for Inflation; FGA's Report Fails to Indicate if Their Estimates are Adjusted)</t>
    </r>
  </si>
  <si>
    <t>Pre-Exit Earnings</t>
  </si>
  <si>
    <t>1-Year Post-Exit Earnings</t>
  </si>
  <si>
    <t>Percent Change,  Pre-Exit to 1 Year</t>
  </si>
  <si>
    <t>4-Year Post-Exit Earnings</t>
  </si>
  <si>
    <t>Percent Change,  Pre-Exit to 4 Year</t>
  </si>
  <si>
    <t>N/A</t>
  </si>
  <si>
    <t>All households that exited before 1st quarter in 2015 for any reason excluding those with no earnings the year before exit</t>
  </si>
  <si>
    <t xml:space="preserve">All households that exited before 1st quarter in 2015 for any reason </t>
  </si>
  <si>
    <t>Earning Quintile Before Exit (excluding 0 earnings)</t>
  </si>
  <si>
    <t>Mean Annual Earnings Before Exit</t>
  </si>
  <si>
    <t>Share of FPL</t>
  </si>
  <si>
    <t>Mean Annual Earnings After Exit</t>
  </si>
  <si>
    <t>Earning Quintile The Year After Exit</t>
  </si>
  <si>
    <t>Number of Quarter Worked After Exit</t>
  </si>
  <si>
    <t>Bottom Quintile</t>
  </si>
  <si>
    <t>20th - 40th</t>
  </si>
  <si>
    <t>40th - 60th</t>
  </si>
  <si>
    <t>60th-80th</t>
  </si>
  <si>
    <t>Top Quintile</t>
  </si>
  <si>
    <t>Total</t>
  </si>
  <si>
    <t>Number of Working Quarters Before Exit</t>
  </si>
  <si>
    <t>Earning Quintile The Year Before Exit</t>
  </si>
  <si>
    <t>Worse</t>
  </si>
  <si>
    <t>Same</t>
  </si>
  <si>
    <t>Better</t>
  </si>
  <si>
    <t>Worked Fewer Quarters in Exit Year</t>
  </si>
  <si>
    <t>Worked Equal Quarters in Exit Year</t>
  </si>
  <si>
    <t>Worked More Quarters in Exit Year</t>
  </si>
  <si>
    <t>All households that exited before 1st quarter in 2015 due to Work Sanction excluding those with no earnings the year before exit</t>
  </si>
  <si>
    <t>All households that exited before 1st quarter in 2015 due to Work Sanction</t>
  </si>
  <si>
    <t>Earning Groups The Year After Exit</t>
  </si>
  <si>
    <t>Earning Groups The Year Before Exit</t>
  </si>
  <si>
    <t>Number of quarters with employment</t>
  </si>
  <si>
    <t>Percent</t>
  </si>
  <si>
    <t>Cum.</t>
  </si>
  <si>
    <t>All households that exited before 1st quarter in 2015 due to time limit</t>
  </si>
  <si>
    <t>Figure X: Annual Earnings for Families Exiting TANF Varied Widely, with Earnings at Various Points Along the Distribution Falling Substantially Below the Federal Poverty Level for a Family of Three</t>
  </si>
  <si>
    <r>
      <t>Annual Earnings, Adjusted for Inflation, 2016 Dollars</t>
    </r>
    <r>
      <rPr>
        <sz val="8"/>
        <color theme="1"/>
        <rFont val="Calibri"/>
        <family val="2"/>
        <scheme val="minor"/>
      </rPr>
      <t> </t>
    </r>
  </si>
  <si>
    <t>[Percent of Poverty]</t>
  </si>
  <si>
    <r>
      <t>Earnings at 25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Percentile</t>
    </r>
  </si>
  <si>
    <t>$0 [0 percent]</t>
  </si>
  <si>
    <r>
      <t>Earnings at 75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Percentile</t>
    </r>
  </si>
  <si>
    <r>
      <t> </t>
    </r>
    <r>
      <rPr>
        <sz val="10"/>
        <color theme="1"/>
        <rFont val="Calibri"/>
        <family val="2"/>
        <scheme val="minor"/>
      </rPr>
      <t xml:space="preserve">I might add in the percent of poverty for each group.  </t>
    </r>
  </si>
  <si>
    <t>All households that exited before 1st quarter in 2015 due to excess income</t>
  </si>
  <si>
    <t xml:space="preserve">Baseline </t>
  </si>
  <si>
    <t xml:space="preserve">3 Year Later </t>
  </si>
  <si>
    <t>Pre-Exit Year</t>
  </si>
  <si>
    <t xml:space="preserve">3 Years Later </t>
  </si>
  <si>
    <t>%FPL, 4th Yr</t>
  </si>
  <si>
    <t>Full 2012 Cohort</t>
  </si>
  <si>
    <t>50% FPL</t>
  </si>
  <si>
    <t>Time limit, all, median earnings</t>
  </si>
  <si>
    <t>stats</t>
  </si>
  <si>
    <t>1 year later</t>
  </si>
  <si>
    <t>2 years later</t>
  </si>
  <si>
    <t>3 years later</t>
  </si>
  <si>
    <t>4 years later</t>
  </si>
  <si>
    <t>p50</t>
  </si>
  <si>
    <t>Only those with earnings:</t>
  </si>
  <si>
    <t>Number</t>
  </si>
  <si>
    <t xml:space="preserve">Earnings </t>
  </si>
  <si>
    <t>Exit Quarter</t>
  </si>
  <si>
    <t>2012 Leavers 
(Q4 2011 - Q1 2012)</t>
  </si>
  <si>
    <t>Share with Earnings</t>
  </si>
  <si>
    <t>2012-2013 Leavers 
(Q4 2011 - Q1 2013)</t>
  </si>
  <si>
    <t>2012-2014 Leavers 
(Q4 2011 - Q1 2014)</t>
  </si>
  <si>
    <t>2012-2015 Leavers 
(Q4 2011- Q1 2015)</t>
  </si>
  <si>
    <t>Share of Parents by Number of Quarters Worked During the Study Period</t>
  </si>
  <si>
    <t>0 quarters</t>
  </si>
  <si>
    <t>1-3 quarters</t>
  </si>
  <si>
    <t>4-6 quarters</t>
  </si>
  <si>
    <t>7-9 quarters</t>
  </si>
  <si>
    <t>All, 1 year sample, 1 year after exit</t>
  </si>
  <si>
    <t>All, 4 year sample, 4 year after exit</t>
  </si>
  <si>
    <t>0 Income</t>
  </si>
  <si>
    <t>Below 25% FPL</t>
  </si>
  <si>
    <t>25 - 49% FPL</t>
  </si>
  <si>
    <t>50 - 74% FPL</t>
  </si>
  <si>
    <t>75 - 99% FPL</t>
  </si>
  <si>
    <t>100 - 124% FPL</t>
  </si>
  <si>
    <t>125% FPL and more</t>
  </si>
  <si>
    <t>Work sanction group, 1 year sample, 1 year after exit</t>
  </si>
  <si>
    <t>Work sanction group, 4 year sample, 4 year after exit</t>
  </si>
  <si>
    <t>Table 1800. Region of residence: Average annual expenditures and characteristics, Consumer Expenditure Survey, 2015-2016</t>
  </si>
  <si>
    <t>Item</t>
  </si>
  <si>
    <t>All
consumer
units</t>
  </si>
  <si>
    <t>Northeast</t>
  </si>
  <si>
    <t>Midwest</t>
  </si>
  <si>
    <t>South</t>
  </si>
  <si>
    <t>West</t>
  </si>
  <si>
    <t>Number of consumer units (in thousands)</t>
  </si>
  <si>
    <t/>
  </si>
  <si>
    <t>Consumer unit characteristics:</t>
  </si>
  <si>
    <t>Income before taxes</t>
  </si>
  <si>
    <t>Income after taxes</t>
  </si>
  <si>
    <t>Age of reference person</t>
  </si>
  <si>
    <t>Average number in consumer unit:</t>
  </si>
  <si>
    <t>People</t>
  </si>
  <si>
    <t>Children under 18</t>
  </si>
  <si>
    <t>Adults 65 and older</t>
  </si>
  <si>
    <t>Earners</t>
  </si>
  <si>
    <t>Vehicles</t>
  </si>
  <si>
    <t>Percent distribution:</t>
  </si>
  <si>
    <t>Reference person:</t>
  </si>
  <si>
    <t>Men</t>
  </si>
  <si>
    <t>Women</t>
  </si>
  <si>
    <t>Housing tenure:</t>
  </si>
  <si>
    <t>Homeowner</t>
  </si>
  <si>
    <t>With mortgage</t>
  </si>
  <si>
    <t>Without mortgage</t>
  </si>
  <si>
    <t>Renter</t>
  </si>
  <si>
    <t>Race of reference person:</t>
  </si>
  <si>
    <t>Black or African-American</t>
  </si>
  <si>
    <t>White, Asian, and all other races</t>
  </si>
  <si>
    <t>Hispanic or Latino origin of reference person:</t>
  </si>
  <si>
    <t>Hispanic or Latino</t>
  </si>
  <si>
    <t>Not Hispanic or Latino</t>
  </si>
  <si>
    <t>Education of reference person:</t>
  </si>
  <si>
    <t>Elementary (1-8)</t>
  </si>
  <si>
    <t>High school (9-12)</t>
  </si>
  <si>
    <t>College</t>
  </si>
  <si>
    <t>Never attended and other</t>
  </si>
  <si>
    <t>a/</t>
  </si>
  <si>
    <t>At least one vehicle owned or leased</t>
  </si>
  <si>
    <t>Average annual expenditures</t>
  </si>
  <si>
    <t>Food</t>
  </si>
  <si>
    <t>Food at home</t>
  </si>
  <si>
    <t>Cereals and bakery products</t>
  </si>
  <si>
    <t>Cereals and cereal products</t>
  </si>
  <si>
    <t>Bakery products</t>
  </si>
  <si>
    <t>Meats, poultry, fish, and eggs</t>
  </si>
  <si>
    <t>Beef</t>
  </si>
  <si>
    <t>Pork</t>
  </si>
  <si>
    <t>Other meats</t>
  </si>
  <si>
    <t>Poultry</t>
  </si>
  <si>
    <t>Fish and seafood</t>
  </si>
  <si>
    <t>Eggs</t>
  </si>
  <si>
    <t>Dairy products</t>
  </si>
  <si>
    <t>Fresh milk and cream</t>
  </si>
  <si>
    <t>Other dairy products</t>
  </si>
  <si>
    <t>Fruits and vegetables</t>
  </si>
  <si>
    <t>Fresh fruits</t>
  </si>
  <si>
    <t>Fresh vegetables</t>
  </si>
  <si>
    <t>Processed fruits</t>
  </si>
  <si>
    <t>Processed vegetables</t>
  </si>
  <si>
    <t>Other food at home</t>
  </si>
  <si>
    <t>Sugar and other sweets</t>
  </si>
  <si>
    <t>Fats and oils</t>
  </si>
  <si>
    <t>Miscellaneous foods</t>
  </si>
  <si>
    <t>Nonalcoholic beverages</t>
  </si>
  <si>
    <t>Food prepared by consumer unit on out-of-town trips</t>
  </si>
  <si>
    <t>Food away from home</t>
  </si>
  <si>
    <t>Alcoholic beverages</t>
  </si>
  <si>
    <t>Housing</t>
  </si>
  <si>
    <t>Shelter</t>
  </si>
  <si>
    <t>Owned dwellings</t>
  </si>
  <si>
    <t>Mortgage interest and charges</t>
  </si>
  <si>
    <t>Property taxes</t>
  </si>
  <si>
    <t>Maintenance, repairs, insurance, other expenses</t>
  </si>
  <si>
    <t>Rented dwellings</t>
  </si>
  <si>
    <t>Other lodging</t>
  </si>
  <si>
    <t>Utilities, fuels, and public services</t>
  </si>
  <si>
    <t>Natural gas</t>
  </si>
  <si>
    <t>Electricity</t>
  </si>
  <si>
    <t>Fuel oil and other fuels</t>
  </si>
  <si>
    <t>Telephone services</t>
  </si>
  <si>
    <t>Residential phone service, VOIP, and phone cards</t>
  </si>
  <si>
    <t>Cellular phone service</t>
  </si>
  <si>
    <t xml:space="preserve">EPI, rural kansas </t>
  </si>
  <si>
    <t>Water and other public services</t>
  </si>
  <si>
    <t>Household operations</t>
  </si>
  <si>
    <t>housing</t>
  </si>
  <si>
    <t>Personal services</t>
  </si>
  <si>
    <t>transportation</t>
  </si>
  <si>
    <t>Other household expenses</t>
  </si>
  <si>
    <t>Housekeeping supplies</t>
  </si>
  <si>
    <t>Laundry and cleaning supplies</t>
  </si>
  <si>
    <t>all</t>
  </si>
  <si>
    <t>Other household products</t>
  </si>
  <si>
    <t>Postage and stationery</t>
  </si>
  <si>
    <t>Household furnishings and equipment</t>
  </si>
  <si>
    <t>Household textiles</t>
  </si>
  <si>
    <t>Furniture</t>
  </si>
  <si>
    <t>Floor coverings</t>
  </si>
  <si>
    <t>Major appliances</t>
  </si>
  <si>
    <t>Small appliances, miscellaneous housewares</t>
  </si>
  <si>
    <t>Miscellaneous household equipment</t>
  </si>
  <si>
    <t>Apparel and services</t>
  </si>
  <si>
    <t>Men and boys</t>
  </si>
  <si>
    <t>Men, 16 and over</t>
  </si>
  <si>
    <t>Boys, 2 to 15</t>
  </si>
  <si>
    <t>Women and girls</t>
  </si>
  <si>
    <t>Women, 16 and over</t>
  </si>
  <si>
    <t>Girls, 2 to 15</t>
  </si>
  <si>
    <t>Children under 2</t>
  </si>
  <si>
    <t>Footwear</t>
  </si>
  <si>
    <t>Other apparel products and services</t>
  </si>
  <si>
    <t>Transportation</t>
  </si>
  <si>
    <t>Vehicle purchases (net outlay)</t>
  </si>
  <si>
    <t>Cars and trucks, new</t>
  </si>
  <si>
    <t>Cars and trucks, used</t>
  </si>
  <si>
    <t>Other vehicles</t>
  </si>
  <si>
    <t>Gasoline and motor oil</t>
  </si>
  <si>
    <t>Other vehicle expenses</t>
  </si>
  <si>
    <t>Vehicle finance charges</t>
  </si>
  <si>
    <t>Maintenance and repairs</t>
  </si>
  <si>
    <t>Vehicle insurance</t>
  </si>
  <si>
    <t>Vehicle rental, leases, licenses, and other charges</t>
  </si>
  <si>
    <t>Public and other transportation</t>
  </si>
  <si>
    <t>Healthcare</t>
  </si>
  <si>
    <t>Health insurance</t>
  </si>
  <si>
    <t>Medical services</t>
  </si>
  <si>
    <t>Drugs</t>
  </si>
  <si>
    <t>Medical supplies</t>
  </si>
  <si>
    <t>Entertainment</t>
  </si>
  <si>
    <t>Fees and admissions</t>
  </si>
  <si>
    <t>Audio and visual equipment and services</t>
  </si>
  <si>
    <t>Pets, toys, hobbies, and playground equipment</t>
  </si>
  <si>
    <t>Pets</t>
  </si>
  <si>
    <t>Toys, hobbies, and playground equipment</t>
  </si>
  <si>
    <t>Other entertainment supplies, equipment, and services</t>
  </si>
  <si>
    <t>Personal care products and services</t>
  </si>
  <si>
    <t>Reading</t>
  </si>
  <si>
    <t>Education</t>
  </si>
  <si>
    <t>Tobacco products and smoking supplies</t>
  </si>
  <si>
    <t>Miscellaneous</t>
  </si>
  <si>
    <t>Cash contributions</t>
  </si>
  <si>
    <t>Personal insurance and pensions</t>
  </si>
  <si>
    <t>Life and other personal insurance</t>
  </si>
  <si>
    <t>Pensions and Social Security</t>
  </si>
  <si>
    <t>Sources of income and personal taxes:</t>
  </si>
  <si>
    <t>Money income before taxes</t>
  </si>
  <si>
    <t>Wages and salaries</t>
  </si>
  <si>
    <t>Self-employment income</t>
  </si>
  <si>
    <t>Social Security, private and government retirement</t>
  </si>
  <si>
    <t>Interest, dividends, rental income, other property income</t>
  </si>
  <si>
    <t>Public assistance, Supplemental Security Income, Supplementary Nutrition Assistance Program (SNAP)</t>
  </si>
  <si>
    <t>Unemployment and workers' compensation, veterans' benefits, and regular contributions for support</t>
  </si>
  <si>
    <t>Other income</t>
  </si>
  <si>
    <t>Personal taxes (contains some imputed values)</t>
  </si>
  <si>
    <t>Federal income taxes</t>
  </si>
  <si>
    <t>State and local income taxes</t>
  </si>
  <si>
    <t>Other taxes</t>
  </si>
  <si>
    <t>Addenda:</t>
  </si>
  <si>
    <t>Net change in total assets and liabilities</t>
  </si>
  <si>
    <t>Net change in total assets</t>
  </si>
  <si>
    <t>Net change in total liabilities</t>
  </si>
  <si>
    <t>Other financial information:</t>
  </si>
  <si>
    <t>Other money receipts</t>
  </si>
  <si>
    <t>Mortgage principal paid on owned property</t>
  </si>
  <si>
    <t>Estimated market value of owned home</t>
  </si>
  <si>
    <t>Estimated monthly rental value of owned home</t>
  </si>
  <si>
    <t>Gifts of goods and services, total</t>
  </si>
  <si>
    <t>Appliances and miscellaneous housewares</t>
  </si>
  <si>
    <t>Small appliances and miscellaneous housewares</t>
  </si>
  <si>
    <t>Other housing</t>
  </si>
  <si>
    <t>Males, 2 and over</t>
  </si>
  <si>
    <t>Females, 2 and over</t>
  </si>
  <si>
    <t>Jewelry and watches</t>
  </si>
  <si>
    <t>All other apparel products and services</t>
  </si>
  <si>
    <t>Toys, games, arts and crafts, and tricycles</t>
  </si>
  <si>
    <t>Other entertainment</t>
  </si>
  <si>
    <t>All other gifts</t>
  </si>
  <si>
    <t>a Value is too small to display.</t>
  </si>
  <si>
    <t>Source: Consumer Expenditure Survey, U.S. Bureau of Labor Statistics, September, 2017</t>
  </si>
  <si>
    <t>Distribution of Earnings for 2012 Leavers in the 4th-pre exit quarter</t>
  </si>
  <si>
    <t>N</t>
  </si>
  <si>
    <t>sum</t>
  </si>
  <si>
    <t>mean</t>
  </si>
  <si>
    <t>sd</t>
  </si>
  <si>
    <t>max</t>
  </si>
  <si>
    <t>p95</t>
  </si>
  <si>
    <t>p90</t>
  </si>
  <si>
    <t>p75</t>
  </si>
  <si>
    <t>p25</t>
  </si>
  <si>
    <t>p10</t>
  </si>
  <si>
    <t>min</t>
  </si>
  <si>
    <t>4th Pre-Exit Qtr</t>
  </si>
  <si>
    <t>Compare Earnings Outcomes in 2 Yr Period for High Earners in 4th Pre-Exit Quarter (75 percentile) with Others, by Qtr</t>
  </si>
  <si>
    <t>Compare Earnings Outcomes in 2 Yr Period for High Earners in 4th Pre-Exit Quarter (90 percentile) with Others</t>
  </si>
  <si>
    <t>Stat</t>
  </si>
  <si>
    <t>4 Qtrs. Before Exit</t>
  </si>
  <si>
    <t>3 Qtrs. Before Exit</t>
  </si>
  <si>
    <t>2 Qtrs. Before Exit</t>
  </si>
  <si>
    <t>1 Qtrs. Before Exit</t>
  </si>
  <si>
    <t>Exit Qtr.</t>
  </si>
  <si>
    <t>1 Qtrs. After Exit</t>
  </si>
  <si>
    <t>2 Qtrs. After Exit</t>
  </si>
  <si>
    <t>3 Qtrs. After Exit</t>
  </si>
  <si>
    <t>4 Qtrs. After Exit</t>
  </si>
  <si>
    <t>High Earner Group (75 percentile in the 4th-pre exit qtr.)</t>
  </si>
  <si>
    <t>High Earner Group (90 percentile in the 4th-pre exit qtr.)</t>
  </si>
  <si>
    <t>Max</t>
  </si>
  <si>
    <t>P75</t>
  </si>
  <si>
    <t>P50</t>
  </si>
  <si>
    <t>P25</t>
  </si>
  <si>
    <t>Min</t>
  </si>
  <si>
    <t>Others</t>
  </si>
  <si>
    <t xml:space="preserve">    </t>
  </si>
  <si>
    <t>Same thing as above, just mean &amp; median</t>
  </si>
  <si>
    <t>High Earners</t>
  </si>
  <si>
    <t>Compare Earnings Outcomes in 2 Yr Period for High Earners in 4th Pre-Exit Quarter (75 percentile) with Others, by Yr</t>
  </si>
  <si>
    <t>Compare Earnings Outcomes in 2 Yr Period for High Earners in 4th Pre-Exit Quarter (90 percentile) with Others, by Yr</t>
  </si>
  <si>
    <t>One Yr. Before Exit</t>
  </si>
  <si>
    <t>One Yr. After Exit</t>
  </si>
  <si>
    <t>Two Yr. Before Exit</t>
  </si>
  <si>
    <t>Three Yrs. After Exit</t>
  </si>
  <si>
    <t>Four Yrs. After Exit</t>
  </si>
  <si>
    <t>9784941  1.02e+07</t>
  </si>
  <si>
    <t>18926.38   19637.1</t>
  </si>
  <si>
    <t>107625.5  87214.91</t>
  </si>
  <si>
    <t>28417.53  29940.58</t>
  </si>
  <si>
    <t>18114.61  16886.03</t>
  </si>
  <si>
    <t>2742.218   712.552</t>
  </si>
  <si>
    <t>0         0</t>
  </si>
  <si>
    <t>Distribution of Earnings for 2012 Leavers in the 1th-post exit quarter</t>
  </si>
  <si>
    <t>High Earner Group (75 percentile in the 1st-post exit qtr.)</t>
  </si>
  <si>
    <t>High Earner Group (90 percentile in the 1st-post exit qtr.)</t>
  </si>
  <si>
    <t>WPR CASE ONLY BELOW</t>
  </si>
  <si>
    <t>p90_2012_4thpre</t>
  </si>
  <si>
    <t>pQtrE~L4</t>
  </si>
  <si>
    <t>pQtrE~L3</t>
  </si>
  <si>
    <t>pQtrE~L2</t>
  </si>
  <si>
    <t>pQtrE~L1</t>
  </si>
  <si>
    <t>pQtrE~s0</t>
  </si>
  <si>
    <t>pQtrE~F1</t>
  </si>
  <si>
    <t>pQtrE~F2</t>
  </si>
  <si>
    <t>pQtrE~F3</t>
  </si>
  <si>
    <t>pQtrE~F4</t>
  </si>
  <si>
    <t>p75_2012_yrpre</t>
  </si>
  <si>
    <t>earnin~L</t>
  </si>
  <si>
    <t>earnin~1</t>
  </si>
  <si>
    <t>earnin~2</t>
  </si>
  <si>
    <t>earnin~3</t>
  </si>
  <si>
    <t>earnin~4</t>
  </si>
  <si>
    <t>p25_2012_yrpre</t>
  </si>
  <si>
    <t xml:space="preserve">Repeat for single parent families only </t>
  </si>
  <si>
    <t>Then repeat everything for only those with earnings (i.e., exlcude the zeros)</t>
  </si>
  <si>
    <t>Employment/ Earnings</t>
  </si>
  <si>
    <t>Total n =</t>
  </si>
  <si>
    <t>Sample n =</t>
  </si>
  <si>
    <t>n All missing</t>
  </si>
  <si>
    <t>Ever employed the year before exit / Mean median total earnings</t>
  </si>
  <si>
    <t>Ever employed the year after exit / Mean median total earnings</t>
  </si>
  <si>
    <t>Employed for only 1 qtr before</t>
  </si>
  <si>
    <t>Employed for 2 qtrs before</t>
  </si>
  <si>
    <t>Employed for3 qtrs before</t>
  </si>
  <si>
    <t>Employed for 4 qtrs before</t>
  </si>
  <si>
    <t>Employed for only 1 qtr after</t>
  </si>
  <si>
    <t>Employed for2 qtrs after</t>
  </si>
  <si>
    <t>Employed for 3 qtrs after</t>
  </si>
  <si>
    <t>Employed for 4 qtrs after</t>
  </si>
  <si>
    <t>Mean*Sample n</t>
  </si>
  <si>
    <t>Mean*Total n</t>
  </si>
  <si>
    <t>Employment</t>
  </si>
  <si>
    <t>PERSONS IN FAMILY OR HOUSEHOLD</t>
  </si>
  <si>
    <t>POVERTY THRESHOLDS FOR 2014 — PUBLISHED SEP. 2015A</t>
  </si>
  <si>
    <t>COLUMN 2 MULTIPLIED BY 1.001 PRICE INFLATORB</t>
  </si>
  <si>
    <t>DIFFERENCE BETWEEN SUCCESSIVE COLUMN 3 ENTRIES</t>
  </si>
  <si>
    <t>AVERAGE DIFFERENCE IN COLUMN 4C</t>
  </si>
  <si>
    <t>PRELIMINARY JANUARY 2016 POVERTY GUIDELINES</t>
  </si>
  <si>
    <t>JANUARY 2015 POVERTY GUIDELINES</t>
  </si>
  <si>
    <t>JANUARY 2016 POVERTY GUIDELINESE</t>
  </si>
  <si>
    <t>24,300d</t>
  </si>
  <si>
    <t>24,250d</t>
  </si>
  <si>
    <t>https://aspe.hhs.gov/2015-poverty-guidelines</t>
  </si>
  <si>
    <t>Distribution of Leavers by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</si>
  <si>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</si>
  <si>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</si>
  <si>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</si>
  <si>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</si>
  <si>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</si>
  <si>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</si>
  <si>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</si>
  <si>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</si>
  <si>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</si>
  <si>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</si>
  <si>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</si>
  <si>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</si>
  <si>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 data</t>
  </si>
  <si>
    <t>Distribution of Leavers by Quarters</t>
  </si>
  <si>
    <t>1st Qtr</t>
  </si>
  <si>
    <t>2nd Qtr</t>
  </si>
  <si>
    <t>3rd Qtr</t>
  </si>
  <si>
    <t>4th Qtr</t>
  </si>
  <si>
    <t>1 Year Before Exit Quarter</t>
  </si>
  <si>
    <t>1 Year After Exit Quarter</t>
  </si>
  <si>
    <t>2 Years After Exit Quarter</t>
  </si>
  <si>
    <t>4 Years After Exit Quarter</t>
  </si>
  <si>
    <t xml:space="preserve">Source: CBPP analysis of state-collected data on the employment and earnings of Kansan adults leaving TANF cash assistance between October 2011 and March 2015. </t>
  </si>
  <si>
    <t>Income Limit</t>
  </si>
  <si>
    <t>Note: Figures may not add up to 100 percent due to rounding. For the accompanying report and methodology, see Tazra Mitchell, LaDonna Pavetti, and Yixuan Huang, “Life After TANF in Kansas: For Most, Unsteady Work and Earnings Far Below the Deep Poverty Line,” Center on Budget and Policy Priorities, January 24, 2018.</t>
  </si>
  <si>
    <t>Exit Quarter and Annual Earnings Data for Parents With Earnings Only, By Cohort and Time, Adjusted for Inflation (2016 Dollars)</t>
  </si>
  <si>
    <t>Exit Quarter and Annual Earnings Data for All Parents Who Left TANF Due to a Work Sanction, By Cohort and Time, Adjusted for Inflation (2016 Dollars)</t>
  </si>
  <si>
    <t>Exit Quarter and Annual Earnings Data for All Parents Who Left TANF Due to the Time Limit, By Cohort and Time, Adjusted for Inflation (2016 Dollars)</t>
  </si>
  <si>
    <t>Exit Quarter and Annual Earnings Data for All Parents Who Left TANF Due to Income Above the Eligibility Limit, By Cohort and Time, Adjusted for Inflation (2016 Dollars)</t>
  </si>
  <si>
    <t>Exit Quarter and Annual Earnings Data for All Parents Who Left TANF Due to All Other Reasons, By Cohort and Time, Adjusted for Inflation (2016 Dollars)</t>
  </si>
  <si>
    <t>Number in Cohort</t>
  </si>
  <si>
    <t>Note: Parents with earnings in the pre-exit year may not have been the same parents with earnings in the post-exit years. As such, the number of parents in Column B includes all parents in that respective cohort, regardless of earnings. For the accompanying report and methodology, see Tazra Mitchell, LaDonna Pavetti, and Yixuan Huang, “Life After TANF in Kansas: For Most, Unsteady Work and Earnings Far Below the Deep Poverty Line,” Center on Budget and Policy Priorities, January 24, 2018.</t>
  </si>
  <si>
    <r>
      <t>Earnings at 25</t>
    </r>
    <r>
      <rPr>
        <b/>
        <vertAlign val="superscript"/>
        <sz val="11"/>
        <color theme="1"/>
        <rFont val="Franklin Gothic Book"/>
        <family val="2"/>
      </rPr>
      <t>th</t>
    </r>
    <r>
      <rPr>
        <b/>
        <sz val="11"/>
        <color theme="1"/>
        <rFont val="Franklin Gothic Book"/>
        <family val="2"/>
      </rPr>
      <t xml:space="preserve"> Percentile</t>
    </r>
  </si>
  <si>
    <r>
      <t>Earnings at 75</t>
    </r>
    <r>
      <rPr>
        <b/>
        <vertAlign val="superscript"/>
        <sz val="11"/>
        <color theme="1"/>
        <rFont val="Franklin Gothic Book"/>
        <family val="2"/>
      </rPr>
      <t>th</t>
    </r>
    <r>
      <rPr>
        <b/>
        <sz val="11"/>
        <color theme="1"/>
        <rFont val="Franklin Gothic Book"/>
        <family val="2"/>
      </rPr>
      <t xml:space="preserve"> Percentile</t>
    </r>
  </si>
  <si>
    <r>
      <t>Earnings at 90</t>
    </r>
    <r>
      <rPr>
        <b/>
        <vertAlign val="superscript"/>
        <sz val="11"/>
        <color theme="1"/>
        <rFont val="Franklin Gothic Book"/>
        <family val="2"/>
      </rPr>
      <t>th</t>
    </r>
    <r>
      <rPr>
        <b/>
        <sz val="11"/>
        <color theme="1"/>
        <rFont val="Franklin Gothic Book"/>
        <family val="2"/>
      </rPr>
      <t xml:space="preserve"> Percentile</t>
    </r>
  </si>
  <si>
    <t>Exit Quarter and Annual Earnings Data for All Parents (i.e., those with and without earnings), By Cohort and Time, Adjusted for Inflation (2016 Dollars)</t>
  </si>
  <si>
    <t>Exit Quarter and Annual Earnings Data for Parents with Earnings Only Who Left TANF Due to a Work Sanction, By Cohort and Time, Adjusted for Inflation (2016 Dollars)</t>
  </si>
  <si>
    <t>Exit Quarter and Annual Earnings Data for Parents with Earnings Only Who Left TANF Due to the Time Limit, By Cohort and Time, Adjusted for Inflation (2016 Dollars)</t>
  </si>
  <si>
    <t>Exit Quarter and Annual Earnings Data for Parents with Earnings Only Who Left TANF Due to Income Above the Eligibility Limit, By Cohort and Time, Adjusted for Inflation (2016 Dollars)</t>
  </si>
  <si>
    <t>Exit Quarter and Annual Earnings Data for Parents with Earnings Only Who Left TANF Due to All Other Reasons, By Cohort and Time, Adjusted for Inflation (2016 Dollars)</t>
  </si>
  <si>
    <t>3 Years After Exit Quarter</t>
  </si>
  <si>
    <t xml:space="preserve">Earnings Grew for Many Parents Exiting TANF but Remained Extremely Inadequate to Meet Family Needs </t>
  </si>
  <si>
    <t xml:space="preserve">Mean and Median Annual Earnings Among Parents with Earnings Only, Adjusted for Inflation, 2016 Dollars </t>
  </si>
  <si>
    <t>Pre-Exit-Year Earnings</t>
  </si>
  <si>
    <t>Post-Exit-Year Earnings</t>
  </si>
  <si>
    <t>Absolute Change</t>
  </si>
  <si>
    <t>Percentage Change</t>
  </si>
  <si>
    <t>All Parents with Earnings</t>
  </si>
  <si>
    <t xml:space="preserve">Median </t>
  </si>
  <si>
    <t>Those Exiting Due to Work Sanctions</t>
  </si>
  <si>
    <r>
      <t>Median</t>
    </r>
    <r>
      <rPr>
        <sz val="10"/>
        <color rgb="FF000000"/>
        <rFont val="Franklin Gothic Medium"/>
        <family val="2"/>
      </rPr>
      <t xml:space="preserve"> </t>
    </r>
  </si>
  <si>
    <t>Those Exiting Due to Time Limits</t>
  </si>
  <si>
    <t>Those Exiting Due to Excess Earnings</t>
  </si>
  <si>
    <t>Those Exiting for Other Reasons</t>
  </si>
  <si>
    <t xml:space="preserve">Number of Quarters Worked by Exit Group, Full 2012-2015 Cohort
</t>
  </si>
  <si>
    <t>Note: Parents with earnings in the pre-exit year may not have been the same parents with earnings in the post-exit year. For the accompanying report and methodology, see Tazra Mitchell, LaDonna Pavetti, and Yixuan Huang, “Life After TANF in Kansas: For Most, Unsteady Work and Earnings Far Below the Deep Poverty Line,” Center on Budget and Policy Priorities, January 24,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</si>
</sst>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&quot;$&quot;#,##0.000"/>
    <numFmt numFmtId="169" formatCode="#,###"/>
    <numFmt numFmtId="170" formatCode="\$#,###"/>
    <numFmt numFmtId="171" formatCode="#.0#"/>
    <numFmt numFmtId="172" formatCode="&quot;$&quot;#,##0.0"/>
    <numFmt numFmtId="173" formatCode="&quot;$&quot;#,##0.0_);[Red]\(&quot;$&quot;#,##0.0\)"/>
  </numFmts>
  <fonts count="4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2F2F2F"/>
      <name val="Arial"/>
      <family val="2"/>
    </font>
    <font>
      <sz val="8"/>
      <color rgb="FF444444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Arial"/>
      <family val="2"/>
    </font>
    <font>
      <sz val="10"/>
      <color rgb="FF0C61A4"/>
      <name val="Franklin Gothic Medium"/>
      <family val="2"/>
    </font>
    <font>
      <sz val="10"/>
      <color theme="1"/>
      <name val="Franklin Gothic Medium"/>
      <family val="2"/>
    </font>
    <font>
      <sz val="10"/>
      <color theme="1"/>
      <name val="Franklin Gothic Book"/>
      <family val="2"/>
    </font>
    <font>
      <sz val="13"/>
      <color theme="1"/>
      <name val="Franklin Gothic Medium"/>
      <family val="2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vertAlign val="superscript"/>
      <sz val="11"/>
      <color theme="1"/>
      <name val="Franklin Gothic Book"/>
      <family val="2"/>
    </font>
    <font>
      <sz val="10"/>
      <color rgb="FF000000"/>
      <name val="Franklin Gothic Medium"/>
      <family val="2"/>
    </font>
    <font>
      <sz val="11"/>
      <color rgb="FF000000"/>
      <name val="Franklin Gothic Book"/>
      <family val="2"/>
    </font>
    <font>
      <sz val="10"/>
      <color rgb="FF000000"/>
      <name val="Franklin Gothic Book"/>
      <family val="2"/>
    </font>
    <font>
      <sz val="10"/>
      <color theme="4"/>
      <name val="Franklin Gothic Medium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CE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DDDDDD"/>
      </top>
      <bottom style="medium">
        <color rgb="FFCCCCCC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DDDDDD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DDDDDD"/>
      </top>
      <bottom/>
      <diagonal/>
    </border>
    <border>
      <left style="medium">
        <color rgb="FFCCCCCC"/>
      </left>
      <right/>
      <top style="medium">
        <color rgb="FFDDDDDD"/>
      </top>
      <bottom style="medium">
        <color rgb="FFCCCCCC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77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6" xfId="0" applyBorder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10" fontId="7" fillId="0" borderId="0" xfId="3" applyNumberFormat="1" applyFont="1" applyAlignment="1">
      <alignment horizontal="center" vertical="center" wrapText="1"/>
    </xf>
    <xf numFmtId="10" fontId="8" fillId="0" borderId="9" xfId="3" applyNumberFormat="1" applyFont="1" applyBorder="1" applyAlignment="1">
      <alignment horizontal="center" vertical="center" wrapText="1"/>
    </xf>
    <xf numFmtId="10" fontId="7" fillId="0" borderId="3" xfId="3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0" fontId="9" fillId="0" borderId="12" xfId="3" applyNumberFormat="1" applyFont="1" applyBorder="1"/>
    <xf numFmtId="10" fontId="9" fillId="0" borderId="14" xfId="3" applyNumberFormat="1" applyFont="1" applyBorder="1"/>
    <xf numFmtId="0" fontId="7" fillId="0" borderId="14" xfId="0" applyFont="1" applyBorder="1"/>
    <xf numFmtId="0" fontId="7" fillId="0" borderId="0" xfId="0" applyFont="1"/>
    <xf numFmtId="10" fontId="7" fillId="0" borderId="19" xfId="0" applyNumberFormat="1" applyFont="1" applyBorder="1"/>
    <xf numFmtId="0" fontId="7" fillId="5" borderId="0" xfId="0" applyFont="1" applyFill="1" applyAlignment="1">
      <alignment horizontal="center" vertical="center" wrapText="1"/>
    </xf>
    <xf numFmtId="164" fontId="7" fillId="0" borderId="0" xfId="1" applyNumberFormat="1" applyFont="1"/>
    <xf numFmtId="165" fontId="7" fillId="0" borderId="0" xfId="3" applyNumberFormat="1" applyFont="1"/>
    <xf numFmtId="10" fontId="7" fillId="0" borderId="0" xfId="3" applyNumberFormat="1" applyFont="1"/>
    <xf numFmtId="10" fontId="7" fillId="0" borderId="0" xfId="0" applyNumberFormat="1" applyFont="1"/>
    <xf numFmtId="0" fontId="7" fillId="2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2" xfId="1" applyNumberFormat="1" applyFont="1" applyBorder="1"/>
    <xf numFmtId="165" fontId="7" fillId="0" borderId="12" xfId="3" applyNumberFormat="1" applyFont="1" applyBorder="1"/>
    <xf numFmtId="10" fontId="7" fillId="0" borderId="12" xfId="3" applyNumberFormat="1" applyFont="1" applyBorder="1"/>
    <xf numFmtId="10" fontId="7" fillId="0" borderId="14" xfId="0" applyNumberFormat="1" applyFont="1" applyBorder="1"/>
    <xf numFmtId="0" fontId="7" fillId="0" borderId="1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164" fontId="7" fillId="0" borderId="17" xfId="1" applyNumberFormat="1" applyFont="1" applyBorder="1"/>
    <xf numFmtId="10" fontId="7" fillId="0" borderId="17" xfId="3" applyNumberFormat="1" applyFont="1" applyBorder="1"/>
    <xf numFmtId="10" fontId="7" fillId="0" borderId="19" xfId="3" applyNumberFormat="1" applyFont="1" applyBorder="1"/>
    <xf numFmtId="0" fontId="7" fillId="10" borderId="12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164" fontId="7" fillId="0" borderId="0" xfId="1" applyNumberFormat="1" applyFont="1" applyBorder="1"/>
    <xf numFmtId="165" fontId="7" fillId="0" borderId="0" xfId="1" applyNumberFormat="1" applyFont="1" applyBorder="1"/>
    <xf numFmtId="165" fontId="8" fillId="0" borderId="0" xfId="1" applyNumberFormat="1" applyFont="1" applyBorder="1"/>
    <xf numFmtId="165" fontId="7" fillId="0" borderId="0" xfId="3" applyNumberFormat="1" applyFont="1" applyBorder="1"/>
    <xf numFmtId="165" fontId="8" fillId="0" borderId="0" xfId="3" applyNumberFormat="1" applyFont="1" applyBorder="1"/>
    <xf numFmtId="9" fontId="7" fillId="0" borderId="0" xfId="3" applyFont="1" applyBorder="1"/>
    <xf numFmtId="10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65" fontId="7" fillId="0" borderId="0" xfId="0" applyNumberFormat="1" applyFont="1"/>
    <xf numFmtId="9" fontId="7" fillId="0" borderId="0" xfId="3" applyFont="1"/>
    <xf numFmtId="9" fontId="7" fillId="0" borderId="0" xfId="3" applyFont="1" applyFill="1" applyBorder="1" applyAlignment="1">
      <alignment horizontal="center" vertical="center" wrapText="1"/>
    </xf>
    <xf numFmtId="164" fontId="7" fillId="0" borderId="0" xfId="1" applyNumberFormat="1" applyFont="1" applyFill="1" applyBorder="1"/>
    <xf numFmtId="0" fontId="7" fillId="11" borderId="1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9" fontId="7" fillId="5" borderId="0" xfId="3" applyFont="1" applyFill="1" applyBorder="1" applyAlignment="1">
      <alignment horizontal="center" vertical="center" wrapText="1"/>
    </xf>
    <xf numFmtId="9" fontId="7" fillId="0" borderId="0" xfId="3" applyFont="1" applyBorder="1" applyAlignment="1">
      <alignment horizontal="center" vertical="center" wrapText="1"/>
    </xf>
    <xf numFmtId="9" fontId="7" fillId="4" borderId="0" xfId="3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9" fontId="7" fillId="2" borderId="0" xfId="3" applyFont="1" applyFill="1" applyAlignment="1">
      <alignment horizontal="center" vertical="center" wrapText="1"/>
    </xf>
    <xf numFmtId="9" fontId="7" fillId="0" borderId="0" xfId="3" applyFont="1" applyAlignment="1">
      <alignment horizontal="center" vertical="center" wrapText="1"/>
    </xf>
    <xf numFmtId="9" fontId="7" fillId="4" borderId="0" xfId="3" applyFont="1" applyFill="1" applyAlignment="1">
      <alignment horizontal="center" vertical="center" wrapText="1"/>
    </xf>
    <xf numFmtId="9" fontId="7" fillId="6" borderId="0" xfId="3" applyFont="1" applyFill="1" applyAlignment="1">
      <alignment horizontal="center" vertical="center" wrapText="1"/>
    </xf>
    <xf numFmtId="9" fontId="7" fillId="7" borderId="0" xfId="3" applyFont="1" applyFill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9" fontId="7" fillId="10" borderId="0" xfId="3" applyFont="1" applyFill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6" fontId="8" fillId="0" borderId="0" xfId="0" applyNumberFormat="1" applyFont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/>
    <xf numFmtId="9" fontId="7" fillId="0" borderId="1" xfId="3" applyFont="1" applyBorder="1" applyAlignment="1">
      <alignment horizontal="center" vertical="center" wrapText="1"/>
    </xf>
    <xf numFmtId="9" fontId="7" fillId="0" borderId="10" xfId="3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7" fillId="0" borderId="12" xfId="0" applyNumberFormat="1" applyFont="1" applyBorder="1"/>
    <xf numFmtId="9" fontId="7" fillId="0" borderId="12" xfId="3" applyFont="1" applyBorder="1"/>
    <xf numFmtId="9" fontId="7" fillId="0" borderId="14" xfId="3" applyFont="1" applyBorder="1"/>
    <xf numFmtId="0" fontId="7" fillId="0" borderId="22" xfId="0" applyFont="1" applyFill="1" applyBorder="1" applyAlignment="1">
      <alignment horizontal="center" vertical="center" wrapText="1"/>
    </xf>
    <xf numFmtId="165" fontId="7" fillId="0" borderId="0" xfId="0" applyNumberFormat="1" applyFont="1" applyBorder="1"/>
    <xf numFmtId="9" fontId="7" fillId="0" borderId="21" xfId="3" applyFont="1" applyBorder="1"/>
    <xf numFmtId="0" fontId="9" fillId="12" borderId="0" xfId="0" applyFont="1" applyFill="1" applyBorder="1" applyAlignment="1">
      <alignment horizontal="center" vertical="center" wrapText="1"/>
    </xf>
    <xf numFmtId="166" fontId="7" fillId="0" borderId="0" xfId="0" applyNumberFormat="1" applyFont="1" applyBorder="1"/>
    <xf numFmtId="166" fontId="7" fillId="0" borderId="0" xfId="3" applyNumberFormat="1" applyFont="1" applyBorder="1"/>
    <xf numFmtId="166" fontId="7" fillId="0" borderId="0" xfId="0" applyNumberFormat="1" applyFont="1"/>
    <xf numFmtId="0" fontId="10" fillId="12" borderId="0" xfId="0" applyFont="1" applyFill="1" applyBorder="1" applyAlignment="1">
      <alignment horizontal="center" vertical="center" wrapText="1"/>
    </xf>
    <xf numFmtId="9" fontId="7" fillId="0" borderId="16" xfId="3" applyFont="1" applyFill="1" applyBorder="1" applyAlignment="1">
      <alignment horizontal="center" vertical="center" wrapText="1"/>
    </xf>
    <xf numFmtId="9" fontId="9" fillId="0" borderId="17" xfId="3" applyFont="1" applyFill="1" applyBorder="1" applyAlignment="1">
      <alignment horizontal="center" vertical="center" wrapText="1"/>
    </xf>
    <xf numFmtId="9" fontId="9" fillId="0" borderId="17" xfId="3" applyFont="1" applyBorder="1" applyAlignment="1">
      <alignment horizontal="center" vertical="center" wrapText="1"/>
    </xf>
    <xf numFmtId="9" fontId="9" fillId="4" borderId="17" xfId="3" applyFont="1" applyFill="1" applyBorder="1" applyAlignment="1">
      <alignment horizontal="center" vertical="center" wrapText="1"/>
    </xf>
    <xf numFmtId="164" fontId="7" fillId="0" borderId="17" xfId="1" applyNumberFormat="1" applyFont="1" applyFill="1" applyBorder="1"/>
    <xf numFmtId="9" fontId="7" fillId="0" borderId="17" xfId="3" applyFont="1" applyBorder="1"/>
    <xf numFmtId="9" fontId="7" fillId="0" borderId="19" xfId="3" applyFont="1" applyBorder="1"/>
    <xf numFmtId="0" fontId="7" fillId="12" borderId="0" xfId="0" applyFont="1" applyFill="1" applyBorder="1" applyAlignment="1">
      <alignment horizontal="center" vertical="center" wrapText="1"/>
    </xf>
    <xf numFmtId="166" fontId="7" fillId="0" borderId="0" xfId="3" applyNumberFormat="1" applyFont="1"/>
    <xf numFmtId="0" fontId="8" fillId="12" borderId="0" xfId="0" applyFont="1" applyFill="1" applyBorder="1" applyAlignment="1">
      <alignment horizontal="center" vertical="center" wrapText="1"/>
    </xf>
    <xf numFmtId="164" fontId="0" fillId="0" borderId="0" xfId="1" applyNumberFormat="1" applyFont="1"/>
    <xf numFmtId="9" fontId="0" fillId="0" borderId="0" xfId="3" applyFont="1"/>
    <xf numFmtId="0" fontId="0" fillId="0" borderId="0" xfId="0" applyFont="1"/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/>
    <xf numFmtId="3" fontId="0" fillId="0" borderId="12" xfId="0" applyNumberFormat="1" applyFont="1" applyBorder="1"/>
    <xf numFmtId="9" fontId="0" fillId="0" borderId="17" xfId="3" applyFont="1" applyBorder="1"/>
    <xf numFmtId="3" fontId="0" fillId="0" borderId="15" xfId="0" applyNumberFormat="1" applyFont="1" applyBorder="1"/>
    <xf numFmtId="9" fontId="0" fillId="0" borderId="20" xfId="3" applyFont="1" applyBorder="1"/>
    <xf numFmtId="0" fontId="2" fillId="0" borderId="1" xfId="0" applyFont="1" applyBorder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/>
    <xf numFmtId="164" fontId="9" fillId="0" borderId="0" xfId="1" applyNumberFormat="1" applyFont="1" applyAlignment="1">
      <alignment horizontal="center" vertical="center" wrapText="1"/>
    </xf>
    <xf numFmtId="10" fontId="9" fillId="0" borderId="0" xfId="3" applyNumberFormat="1" applyFont="1" applyAlignment="1">
      <alignment horizontal="center" vertical="center" wrapText="1"/>
    </xf>
    <xf numFmtId="10" fontId="10" fillId="0" borderId="9" xfId="3" applyNumberFormat="1" applyFont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9" fillId="0" borderId="10" xfId="3" applyNumberFormat="1" applyFont="1" applyBorder="1" applyAlignment="1">
      <alignment horizontal="center" vertical="center" wrapText="1"/>
    </xf>
    <xf numFmtId="10" fontId="9" fillId="0" borderId="3" xfId="3" applyNumberFormat="1" applyFont="1" applyBorder="1" applyAlignment="1">
      <alignment horizontal="center" vertical="center" wrapText="1"/>
    </xf>
    <xf numFmtId="166" fontId="0" fillId="0" borderId="0" xfId="0" applyNumberFormat="1"/>
    <xf numFmtId="166" fontId="2" fillId="0" borderId="0" xfId="0" applyNumberFormat="1" applyFont="1" applyAlignment="1">
      <alignment horizontal="center" wrapText="1"/>
    </xf>
    <xf numFmtId="166" fontId="7" fillId="0" borderId="0" xfId="1" applyNumberFormat="1" applyFont="1" applyBorder="1"/>
    <xf numFmtId="166" fontId="12" fillId="0" borderId="0" xfId="1" applyNumberFormat="1" applyFont="1" applyBorder="1"/>
    <xf numFmtId="166" fontId="2" fillId="0" borderId="0" xfId="0" applyNumberFormat="1" applyFont="1" applyAlignment="1">
      <alignment wrapText="1"/>
    </xf>
    <xf numFmtId="164" fontId="9" fillId="0" borderId="0" xfId="1" applyNumberFormat="1" applyFont="1" applyBorder="1"/>
    <xf numFmtId="10" fontId="7" fillId="0" borderId="0" xfId="3" applyNumberFormat="1" applyFont="1" applyBorder="1"/>
    <xf numFmtId="10" fontId="9" fillId="0" borderId="0" xfId="3" applyNumberFormat="1" applyFont="1" applyBorder="1"/>
    <xf numFmtId="0" fontId="7" fillId="0" borderId="0" xfId="0" applyFont="1" applyBorder="1"/>
    <xf numFmtId="166" fontId="12" fillId="0" borderId="0" xfId="0" applyNumberFormat="1" applyFont="1" applyBorder="1"/>
    <xf numFmtId="166" fontId="12" fillId="0" borderId="0" xfId="3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7" fontId="0" fillId="0" borderId="17" xfId="1" applyNumberFormat="1" applyFont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 wrapText="1"/>
    </xf>
    <xf numFmtId="3" fontId="0" fillId="0" borderId="7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5" fontId="9" fillId="0" borderId="0" xfId="1" applyNumberFormat="1" applyFont="1" applyBorder="1"/>
    <xf numFmtId="165" fontId="10" fillId="0" borderId="0" xfId="1" applyNumberFormat="1" applyFont="1" applyBorder="1"/>
    <xf numFmtId="165" fontId="9" fillId="0" borderId="0" xfId="3" applyNumberFormat="1" applyFont="1" applyBorder="1"/>
    <xf numFmtId="165" fontId="10" fillId="0" borderId="0" xfId="3" applyNumberFormat="1" applyFont="1" applyBorder="1"/>
    <xf numFmtId="0" fontId="9" fillId="0" borderId="0" xfId="0" applyFont="1" applyBorder="1"/>
    <xf numFmtId="165" fontId="7" fillId="0" borderId="0" xfId="2" applyNumberFormat="1" applyFont="1" applyBorder="1"/>
    <xf numFmtId="165" fontId="8" fillId="0" borderId="0" xfId="2" applyNumberFormat="1" applyFont="1" applyBorder="1"/>
    <xf numFmtId="3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 vertical="center" wrapText="1"/>
    </xf>
    <xf numFmtId="166" fontId="8" fillId="0" borderId="0" xfId="1" applyNumberFormat="1" applyFont="1" applyBorder="1"/>
    <xf numFmtId="166" fontId="8" fillId="0" borderId="0" xfId="3" applyNumberFormat="1" applyFont="1" applyBorder="1"/>
    <xf numFmtId="167" fontId="0" fillId="0" borderId="0" xfId="0" applyNumberFormat="1"/>
    <xf numFmtId="0" fontId="0" fillId="0" borderId="0" xfId="0" applyAlignment="1">
      <alignment horizontal="center"/>
    </xf>
    <xf numFmtId="167" fontId="0" fillId="0" borderId="0" xfId="3" applyNumberFormat="1" applyFont="1" applyAlignment="1">
      <alignment horizontal="center"/>
    </xf>
    <xf numFmtId="165" fontId="12" fillId="0" borderId="0" xfId="3" applyNumberFormat="1" applyFont="1" applyBorder="1"/>
    <xf numFmtId="165" fontId="12" fillId="0" borderId="0" xfId="1" applyNumberFormat="1" applyFont="1" applyBorder="1"/>
    <xf numFmtId="166" fontId="0" fillId="0" borderId="0" xfId="0" applyNumberFormat="1" applyFill="1" applyBorder="1" applyAlignment="1">
      <alignment horizontal="center" vertical="center"/>
    </xf>
    <xf numFmtId="0" fontId="0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3" fontId="0" fillId="0" borderId="7" xfId="0" applyNumberFormat="1" applyBorder="1"/>
    <xf numFmtId="0" fontId="0" fillId="0" borderId="7" xfId="0" applyBorder="1"/>
    <xf numFmtId="3" fontId="0" fillId="0" borderId="8" xfId="0" applyNumberFormat="1" applyBorder="1"/>
    <xf numFmtId="0" fontId="2" fillId="0" borderId="0" xfId="0" applyFont="1" applyBorder="1"/>
    <xf numFmtId="166" fontId="0" fillId="0" borderId="12" xfId="0" applyNumberFormat="1" applyBorder="1"/>
    <xf numFmtId="166" fontId="0" fillId="0" borderId="14" xfId="0" applyNumberFormat="1" applyBorder="1"/>
    <xf numFmtId="166" fontId="0" fillId="0" borderId="0" xfId="0" applyNumberFormat="1" applyBorder="1"/>
    <xf numFmtId="166" fontId="0" fillId="0" borderId="21" xfId="0" applyNumberFormat="1" applyBorder="1"/>
    <xf numFmtId="166" fontId="0" fillId="0" borderId="17" xfId="0" applyNumberFormat="1" applyBorder="1"/>
    <xf numFmtId="166" fontId="0" fillId="0" borderId="19" xfId="0" applyNumberFormat="1" applyBorder="1"/>
    <xf numFmtId="166" fontId="0" fillId="0" borderId="5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20" xfId="0" applyNumberFormat="1" applyBorder="1"/>
    <xf numFmtId="0" fontId="19" fillId="0" borderId="0" xfId="0" applyFont="1" applyBorder="1"/>
    <xf numFmtId="166" fontId="19" fillId="0" borderId="0" xfId="0" applyNumberFormat="1" applyFont="1" applyBorder="1"/>
    <xf numFmtId="166" fontId="19" fillId="0" borderId="5" xfId="0" applyNumberFormat="1" applyFont="1" applyBorder="1"/>
    <xf numFmtId="166" fontId="2" fillId="0" borderId="4" xfId="0" applyNumberFormat="1" applyFont="1" applyBorder="1" applyAlignment="1">
      <alignment wrapText="1"/>
    </xf>
    <xf numFmtId="166" fontId="2" fillId="0" borderId="4" xfId="0" applyNumberFormat="1" applyFont="1" applyBorder="1"/>
    <xf numFmtId="166" fontId="2" fillId="0" borderId="6" xfId="0" applyNumberFormat="1" applyFont="1" applyBorder="1" applyAlignment="1">
      <alignment wrapText="1"/>
    </xf>
    <xf numFmtId="166" fontId="19" fillId="0" borderId="7" xfId="0" applyNumberFormat="1" applyFont="1" applyBorder="1"/>
    <xf numFmtId="166" fontId="19" fillId="0" borderId="8" xfId="0" applyNumberFormat="1" applyFont="1" applyBorder="1"/>
    <xf numFmtId="0" fontId="19" fillId="0" borderId="22" xfId="0" applyFont="1" applyBorder="1"/>
    <xf numFmtId="166" fontId="19" fillId="0" borderId="22" xfId="0" applyNumberFormat="1" applyFont="1" applyBorder="1"/>
    <xf numFmtId="166" fontId="19" fillId="0" borderId="34" xfId="0" applyNumberFormat="1" applyFont="1" applyBorder="1"/>
    <xf numFmtId="0" fontId="19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6" fontId="2" fillId="0" borderId="0" xfId="0" applyNumberFormat="1" applyFont="1" applyBorder="1"/>
    <xf numFmtId="0" fontId="1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Fill="1" applyBorder="1"/>
    <xf numFmtId="166" fontId="2" fillId="0" borderId="6" xfId="0" applyNumberFormat="1" applyFont="1" applyFill="1" applyBorder="1" applyAlignment="1">
      <alignment wrapText="1"/>
    </xf>
    <xf numFmtId="0" fontId="19" fillId="0" borderId="21" xfId="0" applyFont="1" applyBorder="1"/>
    <xf numFmtId="0" fontId="19" fillId="0" borderId="1" xfId="0" applyFont="1" applyBorder="1"/>
    <xf numFmtId="0" fontId="5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wrapText="1"/>
    </xf>
    <xf numFmtId="166" fontId="5" fillId="0" borderId="2" xfId="0" applyNumberFormat="1" applyFont="1" applyBorder="1"/>
    <xf numFmtId="166" fontId="5" fillId="0" borderId="3" xfId="0" applyNumberFormat="1" applyFont="1" applyBorder="1" applyAlignment="1">
      <alignment wrapText="1"/>
    </xf>
    <xf numFmtId="0" fontId="19" fillId="0" borderId="0" xfId="0" applyFont="1"/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9" fontId="19" fillId="0" borderId="0" xfId="3" applyFont="1" applyBorder="1" applyAlignment="1">
      <alignment horizontal="center" vertical="center" wrapText="1"/>
    </xf>
    <xf numFmtId="9" fontId="19" fillId="0" borderId="0" xfId="3" applyFont="1" applyBorder="1"/>
    <xf numFmtId="166" fontId="19" fillId="0" borderId="12" xfId="3" applyNumberFormat="1" applyFont="1" applyBorder="1"/>
    <xf numFmtId="166" fontId="19" fillId="0" borderId="15" xfId="3" applyNumberFormat="1" applyFont="1" applyBorder="1"/>
    <xf numFmtId="166" fontId="19" fillId="0" borderId="0" xfId="3" applyNumberFormat="1" applyFont="1" applyBorder="1"/>
    <xf numFmtId="166" fontId="19" fillId="0" borderId="5" xfId="3" applyNumberFormat="1" applyFont="1" applyBorder="1"/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/>
    <xf numFmtId="166" fontId="19" fillId="0" borderId="17" xfId="0" applyNumberFormat="1" applyFont="1" applyBorder="1"/>
    <xf numFmtId="166" fontId="19" fillId="0" borderId="20" xfId="0" applyNumberFormat="1" applyFont="1" applyBorder="1"/>
    <xf numFmtId="0" fontId="19" fillId="0" borderId="16" xfId="0" applyFont="1" applyBorder="1"/>
    <xf numFmtId="0" fontId="19" fillId="0" borderId="19" xfId="0" applyFont="1" applyBorder="1"/>
    <xf numFmtId="166" fontId="19" fillId="0" borderId="17" xfId="3" applyNumberFormat="1" applyFont="1" applyBorder="1"/>
    <xf numFmtId="166" fontId="19" fillId="0" borderId="20" xfId="3" applyNumberFormat="1" applyFont="1" applyBorder="1"/>
    <xf numFmtId="0" fontId="19" fillId="0" borderId="0" xfId="0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0" fontId="19" fillId="0" borderId="11" xfId="0" applyFont="1" applyBorder="1"/>
    <xf numFmtId="0" fontId="19" fillId="0" borderId="12" xfId="0" applyFont="1" applyBorder="1"/>
    <xf numFmtId="0" fontId="19" fillId="0" borderId="7" xfId="0" applyFont="1" applyBorder="1" applyAlignment="1">
      <alignment horizontal="center"/>
    </xf>
    <xf numFmtId="0" fontId="19" fillId="0" borderId="7" xfId="0" applyFont="1" applyBorder="1"/>
    <xf numFmtId="0" fontId="19" fillId="0" borderId="34" xfId="0" applyFont="1" applyBorder="1"/>
    <xf numFmtId="0" fontId="19" fillId="0" borderId="35" xfId="0" applyFont="1" applyBorder="1"/>
    <xf numFmtId="166" fontId="19" fillId="0" borderId="7" xfId="3" applyNumberFormat="1" applyFont="1" applyBorder="1"/>
    <xf numFmtId="166" fontId="19" fillId="0" borderId="8" xfId="3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9" fontId="19" fillId="0" borderId="12" xfId="3" applyFont="1" applyBorder="1" applyAlignment="1">
      <alignment horizontal="center" vertical="center" wrapText="1"/>
    </xf>
    <xf numFmtId="166" fontId="0" fillId="0" borderId="15" xfId="0" applyNumberFormat="1" applyBorder="1"/>
    <xf numFmtId="0" fontId="19" fillId="0" borderId="12" xfId="0" applyFont="1" applyBorder="1" applyAlignment="1">
      <alignment horizontal="center"/>
    </xf>
    <xf numFmtId="9" fontId="19" fillId="0" borderId="12" xfId="0" applyNumberFormat="1" applyFont="1" applyBorder="1" applyAlignment="1">
      <alignment horizontal="center"/>
    </xf>
    <xf numFmtId="0" fontId="0" fillId="0" borderId="1" xfId="0" applyFont="1" applyBorder="1"/>
    <xf numFmtId="0" fontId="2" fillId="0" borderId="6" xfId="0" applyFont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 applyAlignment="1">
      <alignment wrapText="1"/>
    </xf>
    <xf numFmtId="5" fontId="0" fillId="0" borderId="7" xfId="2" applyNumberFormat="1" applyFont="1" applyBorder="1"/>
    <xf numFmtId="166" fontId="19" fillId="0" borderId="21" xfId="0" applyNumberFormat="1" applyFont="1" applyBorder="1"/>
    <xf numFmtId="166" fontId="19" fillId="0" borderId="35" xfId="0" applyNumberFormat="1" applyFont="1" applyBorder="1"/>
    <xf numFmtId="0" fontId="19" fillId="0" borderId="21" xfId="0" applyFont="1" applyBorder="1" applyAlignment="1">
      <alignment horizontal="center" vertical="center"/>
    </xf>
    <xf numFmtId="166" fontId="19" fillId="0" borderId="22" xfId="3" applyNumberFormat="1" applyFont="1" applyBorder="1"/>
    <xf numFmtId="166" fontId="19" fillId="0" borderId="34" xfId="3" applyNumberFormat="1" applyFont="1" applyBorder="1"/>
    <xf numFmtId="166" fontId="19" fillId="0" borderId="21" xfId="3" applyNumberFormat="1" applyFont="1" applyBorder="1"/>
    <xf numFmtId="166" fontId="19" fillId="0" borderId="35" xfId="3" applyNumberFormat="1" applyFont="1" applyBorder="1"/>
    <xf numFmtId="9" fontId="19" fillId="0" borderId="12" xfId="3" applyFont="1" applyBorder="1"/>
    <xf numFmtId="166" fontId="0" fillId="0" borderId="22" xfId="0" applyNumberFormat="1" applyBorder="1"/>
    <xf numFmtId="166" fontId="0" fillId="0" borderId="34" xfId="0" applyNumberFormat="1" applyBorder="1"/>
    <xf numFmtId="166" fontId="0" fillId="0" borderId="35" xfId="0" applyNumberFormat="1" applyBorder="1"/>
    <xf numFmtId="166" fontId="2" fillId="0" borderId="5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19" fillId="0" borderId="14" xfId="0" applyFont="1" applyBorder="1"/>
    <xf numFmtId="0" fontId="5" fillId="0" borderId="10" xfId="0" applyFont="1" applyBorder="1" applyAlignment="1">
      <alignment horizontal="center" vertical="center"/>
    </xf>
    <xf numFmtId="9" fontId="19" fillId="0" borderId="14" xfId="3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9" fontId="19" fillId="0" borderId="21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19" fillId="0" borderId="21" xfId="3" applyFont="1" applyBorder="1" applyAlignment="1">
      <alignment horizontal="center" vertical="center" wrapText="1"/>
    </xf>
    <xf numFmtId="9" fontId="19" fillId="0" borderId="14" xfId="0" applyNumberFormat="1" applyFont="1" applyBorder="1" applyAlignment="1">
      <alignment horizontal="center"/>
    </xf>
    <xf numFmtId="166" fontId="0" fillId="0" borderId="45" xfId="0" applyNumberFormat="1" applyBorder="1"/>
    <xf numFmtId="166" fontId="0" fillId="0" borderId="44" xfId="0" applyNumberFormat="1" applyBorder="1"/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9" fillId="0" borderId="29" xfId="0" applyFont="1" applyBorder="1"/>
    <xf numFmtId="0" fontId="2" fillId="0" borderId="43" xfId="0" applyFont="1" applyBorder="1" applyAlignment="1">
      <alignment horizontal="center" vertical="center" wrapText="1"/>
    </xf>
    <xf numFmtId="166" fontId="0" fillId="0" borderId="9" xfId="0" applyNumberFormat="1" applyBorder="1"/>
    <xf numFmtId="166" fontId="0" fillId="0" borderId="46" xfId="0" applyNumberFormat="1" applyBorder="1"/>
    <xf numFmtId="5" fontId="0" fillId="0" borderId="12" xfId="2" applyNumberFormat="1" applyFont="1" applyBorder="1" applyAlignment="1">
      <alignment horizontal="center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17" xfId="1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3" fontId="0" fillId="0" borderId="0" xfId="1" applyNumberFormat="1" applyFont="1" applyBorder="1" applyAlignment="1">
      <alignment horizontal="center" vertical="center"/>
    </xf>
    <xf numFmtId="0" fontId="0" fillId="15" borderId="0" xfId="0" applyFill="1" applyBorder="1" applyAlignment="1">
      <alignment horizontal="center" vertical="center" wrapText="1"/>
    </xf>
    <xf numFmtId="164" fontId="0" fillId="15" borderId="0" xfId="1" applyNumberFormat="1" applyFont="1" applyFill="1" applyBorder="1" applyAlignment="1">
      <alignment horizontal="center" vertical="center" wrapText="1"/>
    </xf>
    <xf numFmtId="164" fontId="3" fillId="15" borderId="0" xfId="1" applyNumberFormat="1" applyFont="1" applyFill="1" applyBorder="1" applyAlignment="1">
      <alignment horizontal="center" vertical="center" wrapText="1"/>
    </xf>
    <xf numFmtId="3" fontId="0" fillId="15" borderId="0" xfId="1" applyNumberFormat="1" applyFont="1" applyFill="1" applyBorder="1" applyAlignment="1">
      <alignment horizontal="center" vertical="center"/>
    </xf>
    <xf numFmtId="166" fontId="0" fillId="15" borderId="0" xfId="0" applyNumberFormat="1" applyFill="1" applyBorder="1" applyAlignment="1">
      <alignment horizontal="center" vertical="center"/>
    </xf>
    <xf numFmtId="0" fontId="0" fillId="15" borderId="0" xfId="0" applyFill="1"/>
    <xf numFmtId="0" fontId="2" fillId="0" borderId="0" xfId="0" applyFont="1" applyBorder="1" applyAlignment="1">
      <alignment horizontal="left" vertical="center" wrapText="1"/>
    </xf>
    <xf numFmtId="167" fontId="0" fillId="0" borderId="0" xfId="3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6" fontId="0" fillId="15" borderId="0" xfId="0" applyNumberFormat="1" applyFill="1"/>
    <xf numFmtId="166" fontId="1" fillId="0" borderId="0" xfId="0" applyNumberFormat="1" applyFont="1"/>
    <xf numFmtId="0" fontId="14" fillId="14" borderId="47" xfId="0" applyFont="1" applyFill="1" applyBorder="1" applyAlignment="1">
      <alignment horizontal="center" vertical="center" wrapText="1"/>
    </xf>
    <xf numFmtId="0" fontId="16" fillId="14" borderId="47" xfId="4" applyFill="1" applyBorder="1" applyAlignment="1">
      <alignment horizontal="center" vertical="center" wrapText="1"/>
    </xf>
    <xf numFmtId="0" fontId="15" fillId="13" borderId="48" xfId="0" applyFont="1" applyFill="1" applyBorder="1" applyAlignment="1">
      <alignment horizontal="left" vertical="top" wrapText="1"/>
    </xf>
    <xf numFmtId="6" fontId="15" fillId="13" borderId="48" xfId="0" applyNumberFormat="1" applyFont="1" applyFill="1" applyBorder="1" applyAlignment="1">
      <alignment horizontal="left" vertical="top" wrapText="1"/>
    </xf>
    <xf numFmtId="3" fontId="15" fillId="13" borderId="48" xfId="0" applyNumberFormat="1" applyFont="1" applyFill="1" applyBorder="1" applyAlignment="1">
      <alignment horizontal="left" vertical="top" wrapText="1"/>
    </xf>
    <xf numFmtId="0" fontId="16" fillId="14" borderId="49" xfId="4" applyFill="1" applyBorder="1" applyAlignment="1">
      <alignment horizontal="center" vertical="center" wrapText="1"/>
    </xf>
    <xf numFmtId="6" fontId="15" fillId="13" borderId="50" xfId="0" applyNumberFormat="1" applyFont="1" applyFill="1" applyBorder="1" applyAlignment="1">
      <alignment horizontal="left" vertical="top" wrapText="1"/>
    </xf>
    <xf numFmtId="0" fontId="15" fillId="13" borderId="50" xfId="0" applyFont="1" applyFill="1" applyBorder="1" applyAlignment="1">
      <alignment horizontal="left" vertical="top" wrapText="1"/>
    </xf>
    <xf numFmtId="0" fontId="15" fillId="16" borderId="51" xfId="0" applyFont="1" applyFill="1" applyBorder="1" applyAlignment="1">
      <alignment horizontal="left" vertical="top" wrapText="1"/>
    </xf>
    <xf numFmtId="3" fontId="15" fillId="16" borderId="51" xfId="0" applyNumberFormat="1" applyFont="1" applyFill="1" applyBorder="1" applyAlignment="1">
      <alignment horizontal="left" vertical="top" wrapText="1"/>
    </xf>
    <xf numFmtId="0" fontId="16" fillId="16" borderId="51" xfId="4" applyFill="1" applyBorder="1" applyAlignment="1">
      <alignment horizontal="left" vertical="top" wrapText="1"/>
    </xf>
    <xf numFmtId="6" fontId="15" fillId="16" borderId="32" xfId="0" applyNumberFormat="1" applyFont="1" applyFill="1" applyBorder="1" applyAlignment="1">
      <alignment horizontal="left" vertical="top" wrapText="1"/>
    </xf>
    <xf numFmtId="6" fontId="0" fillId="0" borderId="0" xfId="0" applyNumberFormat="1"/>
    <xf numFmtId="164" fontId="0" fillId="0" borderId="0" xfId="0" applyNumberFormat="1"/>
    <xf numFmtId="0" fontId="5" fillId="0" borderId="1" xfId="0" applyFont="1" applyBorder="1"/>
    <xf numFmtId="166" fontId="0" fillId="0" borderId="2" xfId="0" applyNumberFormat="1" applyBorder="1"/>
    <xf numFmtId="166" fontId="0" fillId="0" borderId="3" xfId="0" applyNumberFormat="1" applyBorder="1"/>
    <xf numFmtId="166" fontId="2" fillId="0" borderId="0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166" fontId="7" fillId="0" borderId="5" xfId="0" applyNumberFormat="1" applyFont="1" applyBorder="1"/>
    <xf numFmtId="166" fontId="2" fillId="0" borderId="2" xfId="0" applyNumberFormat="1" applyFont="1" applyBorder="1" applyAlignment="1">
      <alignment horizontal="center" wrapText="1"/>
    </xf>
    <xf numFmtId="166" fontId="2" fillId="0" borderId="3" xfId="0" applyNumberFormat="1" applyFont="1" applyBorder="1" applyAlignment="1">
      <alignment horizontal="center" wrapText="1"/>
    </xf>
    <xf numFmtId="166" fontId="7" fillId="0" borderId="5" xfId="1" applyNumberFormat="1" applyFont="1" applyBorder="1"/>
    <xf numFmtId="166" fontId="7" fillId="0" borderId="7" xfId="0" applyNumberFormat="1" applyFont="1" applyBorder="1"/>
    <xf numFmtId="166" fontId="7" fillId="0" borderId="8" xfId="0" applyNumberFormat="1" applyFont="1" applyBorder="1"/>
    <xf numFmtId="0" fontId="0" fillId="0" borderId="52" xfId="0" applyBorder="1"/>
    <xf numFmtId="166" fontId="7" fillId="0" borderId="53" xfId="0" applyNumberFormat="1" applyFont="1" applyBorder="1"/>
    <xf numFmtId="166" fontId="7" fillId="0" borderId="54" xfId="0" applyNumberFormat="1" applyFont="1" applyBorder="1"/>
    <xf numFmtId="166" fontId="2" fillId="0" borderId="2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166" fontId="12" fillId="0" borderId="5" xfId="3" applyNumberFormat="1" applyFont="1" applyBorder="1"/>
    <xf numFmtId="165" fontId="12" fillId="0" borderId="5" xfId="3" applyNumberFormat="1" applyFont="1" applyBorder="1"/>
    <xf numFmtId="165" fontId="7" fillId="0" borderId="5" xfId="0" applyNumberFormat="1" applyFont="1" applyBorder="1"/>
    <xf numFmtId="166" fontId="0" fillId="0" borderId="0" xfId="1" applyNumberFormat="1" applyFont="1" applyBorder="1" applyAlignment="1">
      <alignment horizontal="center" vertical="center"/>
    </xf>
    <xf numFmtId="166" fontId="0" fillId="0" borderId="0" xfId="2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3" fillId="0" borderId="7" xfId="0" applyFont="1" applyBorder="1" applyAlignment="1">
      <alignment wrapText="1"/>
    </xf>
    <xf numFmtId="167" fontId="0" fillId="0" borderId="0" xfId="3" applyNumberFormat="1" applyFont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9" fontId="1" fillId="0" borderId="0" xfId="3" applyFont="1" applyBorder="1"/>
    <xf numFmtId="167" fontId="1" fillId="0" borderId="0" xfId="3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67" fontId="1" fillId="0" borderId="0" xfId="3" applyNumberFormat="1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7" fontId="0" fillId="0" borderId="5" xfId="3" applyNumberFormat="1" applyFont="1" applyBorder="1" applyAlignment="1">
      <alignment horizontal="center" vertical="center"/>
    </xf>
    <xf numFmtId="167" fontId="0" fillId="0" borderId="7" xfId="3" applyNumberFormat="1" applyFont="1" applyBorder="1" applyAlignment="1">
      <alignment horizontal="center" vertical="center"/>
    </xf>
    <xf numFmtId="167" fontId="0" fillId="0" borderId="8" xfId="3" applyNumberFormat="1" applyFont="1" applyBorder="1" applyAlignment="1">
      <alignment horizontal="center" vertical="center"/>
    </xf>
    <xf numFmtId="167" fontId="0" fillId="15" borderId="0" xfId="3" applyNumberFormat="1" applyFont="1" applyFill="1" applyAlignment="1">
      <alignment horizontal="left" indent="2"/>
    </xf>
    <xf numFmtId="2" fontId="1" fillId="0" borderId="0" xfId="3" applyNumberFormat="1" applyFont="1" applyFill="1" applyBorder="1"/>
    <xf numFmtId="167" fontId="0" fillId="0" borderId="0" xfId="3" applyNumberFormat="1" applyFont="1" applyBorder="1" applyAlignment="1">
      <alignment vertical="center"/>
    </xf>
    <xf numFmtId="167" fontId="1" fillId="15" borderId="0" xfId="3" applyNumberFormat="1" applyFont="1" applyFill="1" applyBorder="1" applyAlignment="1">
      <alignment vertical="center"/>
    </xf>
    <xf numFmtId="2" fontId="0" fillId="0" borderId="0" xfId="3" applyNumberFormat="1" applyFont="1" applyAlignment="1">
      <alignment horizontal="center"/>
    </xf>
    <xf numFmtId="168" fontId="0" fillId="0" borderId="0" xfId="0" applyNumberFormat="1"/>
    <xf numFmtId="0" fontId="0" fillId="0" borderId="0" xfId="0" applyAlignment="1">
      <alignment vertical="center"/>
    </xf>
    <xf numFmtId="17" fontId="0" fillId="0" borderId="0" xfId="0" applyNumberFormat="1"/>
    <xf numFmtId="3" fontId="7" fillId="0" borderId="0" xfId="0" applyNumberFormat="1" applyFont="1"/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/>
    <xf numFmtId="3" fontId="7" fillId="0" borderId="0" xfId="0" applyNumberFormat="1" applyFont="1" applyBorder="1"/>
    <xf numFmtId="3" fontId="7" fillId="0" borderId="0" xfId="0" applyNumberFormat="1" applyFont="1" applyFill="1" applyBorder="1"/>
    <xf numFmtId="9" fontId="0" fillId="0" borderId="0" xfId="3" applyNumberFormat="1" applyFont="1"/>
    <xf numFmtId="165" fontId="0" fillId="0" borderId="0" xfId="0" applyNumberFormat="1"/>
    <xf numFmtId="0" fontId="21" fillId="0" borderId="57" xfId="0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 vertical="center" wrapText="1"/>
    </xf>
    <xf numFmtId="10" fontId="21" fillId="0" borderId="8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167" fontId="2" fillId="0" borderId="0" xfId="3" applyNumberFormat="1" applyFont="1"/>
    <xf numFmtId="166" fontId="2" fillId="0" borderId="0" xfId="0" applyNumberFormat="1" applyFont="1" applyBorder="1" applyAlignment="1">
      <alignment wrapText="1"/>
    </xf>
    <xf numFmtId="0" fontId="21" fillId="0" borderId="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5" borderId="57" xfId="0" applyFont="1" applyFill="1" applyBorder="1" applyAlignment="1">
      <alignment horizontal="center" vertical="center" wrapText="1"/>
    </xf>
    <xf numFmtId="3" fontId="21" fillId="5" borderId="8" xfId="0" applyNumberFormat="1" applyFont="1" applyFill="1" applyBorder="1" applyAlignment="1">
      <alignment horizontal="center" vertical="center" wrapText="1"/>
    </xf>
    <xf numFmtId="10" fontId="21" fillId="5" borderId="8" xfId="0" applyNumberFormat="1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2" fillId="5" borderId="57" xfId="0" applyFont="1" applyFill="1" applyBorder="1" applyAlignment="1">
      <alignment horizontal="center" vertical="center"/>
    </xf>
    <xf numFmtId="167" fontId="12" fillId="0" borderId="0" xfId="3" applyNumberFormat="1" applyFont="1" applyBorder="1"/>
    <xf numFmtId="167" fontId="12" fillId="0" borderId="0" xfId="3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9" fontId="0" fillId="0" borderId="0" xfId="3" applyFont="1" applyAlignment="1">
      <alignment horizontal="center"/>
    </xf>
    <xf numFmtId="166" fontId="0" fillId="17" borderId="12" xfId="0" applyNumberFormat="1" applyFill="1" applyBorder="1" applyAlignment="1">
      <alignment horizontal="center" vertical="center"/>
    </xf>
    <xf numFmtId="166" fontId="0" fillId="17" borderId="15" xfId="0" applyNumberFormat="1" applyFill="1" applyBorder="1" applyAlignment="1">
      <alignment horizontal="center" vertical="center"/>
    </xf>
    <xf numFmtId="166" fontId="0" fillId="17" borderId="0" xfId="0" applyNumberFormat="1" applyFill="1" applyBorder="1" applyAlignment="1">
      <alignment horizontal="center" vertical="center"/>
    </xf>
    <xf numFmtId="166" fontId="0" fillId="17" borderId="5" xfId="0" applyNumberFormat="1" applyFill="1" applyBorder="1" applyAlignment="1">
      <alignment horizontal="center" vertical="center"/>
    </xf>
    <xf numFmtId="3" fontId="0" fillId="17" borderId="0" xfId="0" applyNumberFormat="1" applyFill="1" applyBorder="1" applyAlignment="1">
      <alignment horizontal="center" vertical="center"/>
    </xf>
    <xf numFmtId="3" fontId="0" fillId="17" borderId="5" xfId="0" applyNumberFormat="1" applyFill="1" applyBorder="1" applyAlignment="1">
      <alignment horizontal="center" vertical="center"/>
    </xf>
    <xf numFmtId="166" fontId="0" fillId="17" borderId="0" xfId="0" applyNumberFormat="1" applyFill="1" applyBorder="1" applyAlignment="1">
      <alignment horizontal="center"/>
    </xf>
    <xf numFmtId="166" fontId="0" fillId="17" borderId="5" xfId="0" applyNumberFormat="1" applyFill="1" applyBorder="1" applyAlignment="1">
      <alignment horizontal="center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/>
    </xf>
    <xf numFmtId="167" fontId="0" fillId="0" borderId="0" xfId="3" applyNumberFormat="1" applyFont="1" applyAlignment="1">
      <alignment wrapText="1"/>
    </xf>
    <xf numFmtId="0" fontId="0" fillId="0" borderId="56" xfId="0" applyBorder="1" applyAlignment="1">
      <alignment vertical="top"/>
    </xf>
    <xf numFmtId="0" fontId="0" fillId="0" borderId="28" xfId="0" applyBorder="1" applyAlignment="1">
      <alignment vertical="center"/>
    </xf>
    <xf numFmtId="0" fontId="0" fillId="0" borderId="57" xfId="0" applyBorder="1" applyAlignment="1">
      <alignment vertical="center" wrapText="1"/>
    </xf>
    <xf numFmtId="6" fontId="0" fillId="0" borderId="8" xfId="0" applyNumberFormat="1" applyBorder="1" applyAlignment="1">
      <alignment vertical="center"/>
    </xf>
    <xf numFmtId="0" fontId="0" fillId="0" borderId="57" xfId="0" applyBorder="1" applyAlignment="1">
      <alignment vertical="top" wrapText="1"/>
    </xf>
    <xf numFmtId="0" fontId="0" fillId="0" borderId="57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57" xfId="0" applyBorder="1" applyAlignment="1">
      <alignment vertical="center"/>
    </xf>
    <xf numFmtId="8" fontId="0" fillId="0" borderId="0" xfId="0" applyNumberFormat="1"/>
    <xf numFmtId="6" fontId="0" fillId="0" borderId="0" xfId="0" applyNumberFormat="1" applyAlignment="1">
      <alignment horizontal="center"/>
    </xf>
    <xf numFmtId="0" fontId="2" fillId="0" borderId="0" xfId="0" applyFont="1" applyBorder="1" applyAlignment="1">
      <alignment vertical="center"/>
    </xf>
    <xf numFmtId="167" fontId="0" fillId="0" borderId="0" xfId="3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6" fontId="0" fillId="0" borderId="8" xfId="0" applyNumberForma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6" fontId="12" fillId="0" borderId="0" xfId="3" applyNumberFormat="1" applyFont="1" applyBorder="1" applyAlignment="1">
      <alignment horizontal="center"/>
    </xf>
    <xf numFmtId="165" fontId="0" fillId="0" borderId="0" xfId="0" applyNumberFormat="1" applyBorder="1"/>
    <xf numFmtId="166" fontId="2" fillId="0" borderId="0" xfId="0" applyNumberFormat="1" applyFont="1"/>
    <xf numFmtId="165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 wrapText="1"/>
    </xf>
    <xf numFmtId="10" fontId="0" fillId="0" borderId="0" xfId="3" applyNumberFormat="1" applyFont="1"/>
    <xf numFmtId="167" fontId="0" fillId="15" borderId="0" xfId="3" applyNumberFormat="1" applyFont="1" applyFill="1"/>
    <xf numFmtId="167" fontId="1" fillId="0" borderId="4" xfId="3" applyNumberFormat="1" applyFont="1" applyBorder="1"/>
    <xf numFmtId="167" fontId="1" fillId="0" borderId="5" xfId="3" applyNumberFormat="1" applyFont="1" applyBorder="1"/>
    <xf numFmtId="167" fontId="0" fillId="0" borderId="0" xfId="3" applyNumberFormat="1" applyFont="1"/>
    <xf numFmtId="0" fontId="27" fillId="0" borderId="23" xfId="5" applyFont="1" applyBorder="1" applyAlignment="1">
      <alignment horizontal="center" vertical="center" wrapText="1"/>
    </xf>
    <xf numFmtId="0" fontId="27" fillId="0" borderId="21" xfId="5" applyFont="1" applyBorder="1" applyAlignment="1">
      <alignment horizontal="left" vertical="center" wrapText="1"/>
    </xf>
    <xf numFmtId="0" fontId="28" fillId="0" borderId="21" xfId="5" applyFont="1" applyBorder="1" applyAlignment="1">
      <alignment horizontal="left" vertical="center" wrapText="1"/>
    </xf>
    <xf numFmtId="0" fontId="28" fillId="0" borderId="0" xfId="5" applyFont="1" applyAlignment="1">
      <alignment horizontal="right" vertical="center"/>
    </xf>
    <xf numFmtId="169" fontId="28" fillId="0" borderId="0" xfId="5" applyNumberFormat="1" applyFont="1" applyFill="1" applyBorder="1" applyAlignment="1">
      <alignment horizontal="right" vertical="center"/>
    </xf>
    <xf numFmtId="0" fontId="28" fillId="0" borderId="59" xfId="5" applyNumberFormat="1" applyFont="1" applyFill="1" applyBorder="1" applyAlignment="1">
      <alignment horizontal="left" vertical="center" wrapText="1" indent="1"/>
    </xf>
    <xf numFmtId="170" fontId="28" fillId="0" borderId="0" xfId="5" applyNumberFormat="1" applyFont="1" applyFill="1" applyBorder="1" applyAlignment="1">
      <alignment horizontal="right" vertical="center"/>
    </xf>
    <xf numFmtId="171" fontId="28" fillId="0" borderId="0" xfId="5" applyNumberFormat="1" applyFont="1" applyFill="1" applyBorder="1" applyAlignment="1">
      <alignment horizontal="right" vertical="center"/>
    </xf>
    <xf numFmtId="0" fontId="28" fillId="0" borderId="59" xfId="5" applyNumberFormat="1" applyFont="1" applyFill="1" applyBorder="1" applyAlignment="1">
      <alignment horizontal="left" vertical="center" wrapText="1" indent="2"/>
    </xf>
    <xf numFmtId="1" fontId="28" fillId="0" borderId="0" xfId="5" applyNumberFormat="1" applyFont="1" applyFill="1" applyBorder="1" applyAlignment="1">
      <alignment horizontal="right" vertical="center"/>
    </xf>
    <xf numFmtId="0" fontId="28" fillId="0" borderId="59" xfId="5" applyNumberFormat="1" applyFont="1" applyFill="1" applyBorder="1" applyAlignment="1">
      <alignment horizontal="left" vertical="center" wrapText="1" indent="3"/>
    </xf>
    <xf numFmtId="0" fontId="28" fillId="0" borderId="59" xfId="5" applyNumberFormat="1" applyFont="1" applyFill="1" applyBorder="1" applyAlignment="1">
      <alignment horizontal="left" vertical="center" wrapText="1" indent="4"/>
    </xf>
    <xf numFmtId="1" fontId="0" fillId="0" borderId="0" xfId="0" applyNumberFormat="1"/>
    <xf numFmtId="0" fontId="30" fillId="18" borderId="0" xfId="0" applyFont="1" applyFill="1"/>
    <xf numFmtId="0" fontId="31" fillId="18" borderId="0" xfId="0" applyFont="1" applyFill="1" applyAlignment="1">
      <alignment vertical="center"/>
    </xf>
    <xf numFmtId="0" fontId="31" fillId="18" borderId="0" xfId="0" applyFont="1" applyFill="1" applyAlignment="1">
      <alignment vertical="center" wrapText="1"/>
    </xf>
    <xf numFmtId="167" fontId="30" fillId="18" borderId="0" xfId="3" applyNumberFormat="1" applyFont="1" applyFill="1"/>
    <xf numFmtId="166" fontId="0" fillId="18" borderId="0" xfId="0" applyNumberFormat="1" applyFont="1" applyFill="1" applyBorder="1" applyAlignment="1">
      <alignment horizontal="center" vertical="center"/>
    </xf>
    <xf numFmtId="166" fontId="0" fillId="18" borderId="0" xfId="0" applyNumberFormat="1" applyFont="1" applyFill="1" applyBorder="1" applyAlignment="1">
      <alignment horizontal="center"/>
    </xf>
    <xf numFmtId="166" fontId="0" fillId="18" borderId="0" xfId="0" applyNumberFormat="1" applyFont="1" applyFill="1"/>
    <xf numFmtId="167" fontId="6" fillId="18" borderId="0" xfId="3" applyNumberFormat="1" applyFont="1" applyFill="1"/>
    <xf numFmtId="0" fontId="6" fillId="18" borderId="0" xfId="0" applyFont="1" applyFill="1"/>
    <xf numFmtId="166" fontId="32" fillId="18" borderId="0" xfId="0" applyNumberFormat="1" applyFont="1" applyFill="1" applyAlignment="1">
      <alignment vertical="center"/>
    </xf>
    <xf numFmtId="0" fontId="21" fillId="0" borderId="62" xfId="0" applyFont="1" applyBorder="1" applyAlignment="1">
      <alignment vertical="center" wrapText="1"/>
    </xf>
    <xf numFmtId="0" fontId="30" fillId="0" borderId="6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63" xfId="0" applyFont="1" applyBorder="1" applyAlignment="1">
      <alignment vertical="center" wrapText="1"/>
    </xf>
    <xf numFmtId="0" fontId="30" fillId="0" borderId="64" xfId="0" applyFont="1" applyBorder="1" applyAlignment="1">
      <alignment vertical="center" wrapText="1"/>
    </xf>
    <xf numFmtId="0" fontId="30" fillId="0" borderId="65" xfId="0" applyFon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/>
    </xf>
    <xf numFmtId="166" fontId="0" fillId="0" borderId="0" xfId="2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167" fontId="7" fillId="5" borderId="55" xfId="0" applyNumberFormat="1" applyFont="1" applyFill="1" applyBorder="1" applyAlignment="1">
      <alignment horizontal="center" vertical="top"/>
    </xf>
    <xf numFmtId="167" fontId="6" fillId="5" borderId="55" xfId="0" applyNumberFormat="1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top"/>
    </xf>
    <xf numFmtId="173" fontId="6" fillId="5" borderId="23" xfId="0" applyNumberFormat="1" applyFont="1" applyFill="1" applyBorder="1" applyAlignment="1">
      <alignment horizontal="center" vertical="center"/>
    </xf>
    <xf numFmtId="167" fontId="7" fillId="5" borderId="23" xfId="0" applyNumberFormat="1" applyFont="1" applyFill="1" applyBorder="1" applyAlignment="1">
      <alignment horizontal="center" vertical="top"/>
    </xf>
    <xf numFmtId="173" fontId="7" fillId="5" borderId="23" xfId="0" applyNumberFormat="1" applyFont="1" applyFill="1" applyBorder="1" applyAlignment="1">
      <alignment horizontal="center" vertical="top"/>
    </xf>
    <xf numFmtId="167" fontId="6" fillId="5" borderId="23" xfId="0" applyNumberFormat="1" applyFont="1" applyFill="1" applyBorder="1" applyAlignment="1">
      <alignment horizontal="center" vertical="center"/>
    </xf>
    <xf numFmtId="173" fontId="6" fillId="5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73" fontId="6" fillId="19" borderId="55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vertical="top"/>
    </xf>
    <xf numFmtId="0" fontId="2" fillId="19" borderId="6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vertical="center"/>
    </xf>
    <xf numFmtId="173" fontId="6" fillId="6" borderId="55" xfId="0" applyNumberFormat="1" applyFont="1" applyFill="1" applyBorder="1" applyAlignment="1">
      <alignment horizontal="center" vertical="center"/>
    </xf>
    <xf numFmtId="173" fontId="6" fillId="6" borderId="24" xfId="0" applyNumberFormat="1" applyFont="1" applyFill="1" applyBorder="1" applyAlignment="1">
      <alignment horizontal="center" vertical="center"/>
    </xf>
    <xf numFmtId="167" fontId="7" fillId="6" borderId="23" xfId="0" applyNumberFormat="1" applyFont="1" applyFill="1" applyBorder="1" applyAlignment="1">
      <alignment horizontal="center" vertical="top"/>
    </xf>
    <xf numFmtId="173" fontId="7" fillId="6" borderId="23" xfId="0" applyNumberFormat="1" applyFont="1" applyFill="1" applyBorder="1" applyAlignment="1">
      <alignment horizontal="center" vertical="top"/>
    </xf>
    <xf numFmtId="167" fontId="7" fillId="6" borderId="55" xfId="0" applyNumberFormat="1" applyFont="1" applyFill="1" applyBorder="1" applyAlignment="1">
      <alignment horizontal="center" vertical="top"/>
    </xf>
    <xf numFmtId="167" fontId="7" fillId="0" borderId="0" xfId="3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5" xfId="2" applyNumberFormat="1" applyFon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9" fillId="0" borderId="0" xfId="5" applyFont="1" applyAlignment="1">
      <alignment horizontal="left"/>
    </xf>
    <xf numFmtId="9" fontId="37" fillId="0" borderId="23" xfId="0" applyNumberFormat="1" applyFont="1" applyBorder="1" applyAlignment="1">
      <alignment horizontal="center" vertical="center" wrapText="1"/>
    </xf>
    <xf numFmtId="0" fontId="36" fillId="0" borderId="25" xfId="0" applyFont="1" applyBorder="1" applyAlignment="1">
      <alignment horizontal="left" vertical="center"/>
    </xf>
    <xf numFmtId="9" fontId="37" fillId="0" borderId="55" xfId="0" applyNumberFormat="1" applyFont="1" applyBorder="1" applyAlignment="1">
      <alignment horizontal="center" vertical="center" wrapText="1"/>
    </xf>
    <xf numFmtId="0" fontId="36" fillId="0" borderId="71" xfId="0" applyFont="1" applyBorder="1" applyAlignment="1">
      <alignment horizontal="left" vertical="center"/>
    </xf>
    <xf numFmtId="9" fontId="37" fillId="0" borderId="72" xfId="0" applyNumberFormat="1" applyFont="1" applyBorder="1" applyAlignment="1">
      <alignment horizontal="center" vertical="center" wrapText="1"/>
    </xf>
    <xf numFmtId="9" fontId="37" fillId="0" borderId="73" xfId="0" applyNumberFormat="1" applyFont="1" applyBorder="1" applyAlignment="1">
      <alignment horizontal="center" vertical="center" wrapText="1"/>
    </xf>
    <xf numFmtId="0" fontId="40" fillId="0" borderId="0" xfId="0" applyFont="1"/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166" fontId="39" fillId="0" borderId="56" xfId="0" applyNumberFormat="1" applyFont="1" applyBorder="1" applyAlignment="1">
      <alignment horizontal="center" vertical="center" wrapText="1"/>
    </xf>
    <xf numFmtId="166" fontId="39" fillId="0" borderId="27" xfId="0" applyNumberFormat="1" applyFont="1" applyBorder="1" applyAlignment="1">
      <alignment horizontal="center" vertical="center" wrapText="1"/>
    </xf>
    <xf numFmtId="166" fontId="39" fillId="0" borderId="28" xfId="0" applyNumberFormat="1" applyFont="1" applyBorder="1" applyAlignment="1">
      <alignment horizontal="center" vertical="center" wrapText="1"/>
    </xf>
    <xf numFmtId="164" fontId="40" fillId="0" borderId="0" xfId="1" applyNumberFormat="1" applyFont="1" applyBorder="1" applyAlignment="1">
      <alignment horizontal="left" vertical="center" wrapText="1"/>
    </xf>
    <xf numFmtId="166" fontId="40" fillId="0" borderId="60" xfId="1" applyNumberFormat="1" applyFont="1" applyBorder="1" applyAlignment="1">
      <alignment horizontal="center" vertical="center" wrapText="1"/>
    </xf>
    <xf numFmtId="166" fontId="40" fillId="0" borderId="0" xfId="0" applyNumberFormat="1" applyFont="1" applyFill="1" applyBorder="1" applyAlignment="1">
      <alignment horizontal="center" vertical="center"/>
    </xf>
    <xf numFmtId="166" fontId="40" fillId="0" borderId="5" xfId="0" applyNumberFormat="1" applyFont="1" applyFill="1" applyBorder="1" applyAlignment="1">
      <alignment horizontal="center" vertical="center"/>
    </xf>
    <xf numFmtId="166" fontId="40" fillId="0" borderId="0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center" vertical="center"/>
    </xf>
    <xf numFmtId="164" fontId="40" fillId="0" borderId="17" xfId="1" applyNumberFormat="1" applyFont="1" applyBorder="1" applyAlignment="1">
      <alignment horizontal="left" vertical="center" wrapText="1"/>
    </xf>
    <xf numFmtId="9" fontId="40" fillId="0" borderId="61" xfId="3" applyFont="1" applyBorder="1" applyAlignment="1">
      <alignment horizontal="center" vertical="center" wrapText="1"/>
    </xf>
    <xf numFmtId="9" fontId="40" fillId="0" borderId="17" xfId="3" applyFont="1" applyBorder="1" applyAlignment="1">
      <alignment horizontal="center" vertical="center"/>
    </xf>
    <xf numFmtId="9" fontId="40" fillId="0" borderId="20" xfId="3" applyFont="1" applyBorder="1" applyAlignment="1">
      <alignment horizontal="center" vertical="center"/>
    </xf>
    <xf numFmtId="166" fontId="40" fillId="0" borderId="0" xfId="0" applyNumberFormat="1" applyFont="1" applyBorder="1" applyAlignment="1">
      <alignment horizontal="center" vertical="center" wrapText="1"/>
    </xf>
    <xf numFmtId="166" fontId="40" fillId="0" borderId="12" xfId="0" applyNumberFormat="1" applyFont="1" applyBorder="1" applyAlignment="1">
      <alignment horizontal="center" vertical="center"/>
    </xf>
    <xf numFmtId="166" fontId="40" fillId="0" borderId="0" xfId="1" applyNumberFormat="1" applyFont="1" applyFill="1" applyBorder="1" applyAlignment="1">
      <alignment horizontal="center" vertical="center"/>
    </xf>
    <xf numFmtId="166" fontId="40" fillId="0" borderId="0" xfId="1" applyNumberFormat="1" applyFont="1" applyBorder="1" applyAlignment="1">
      <alignment horizontal="center" vertical="center"/>
    </xf>
    <xf numFmtId="164" fontId="40" fillId="0" borderId="7" xfId="1" applyNumberFormat="1" applyFont="1" applyBorder="1" applyAlignment="1">
      <alignment horizontal="left" vertical="center" wrapText="1"/>
    </xf>
    <xf numFmtId="9" fontId="40" fillId="0" borderId="57" xfId="3" applyFont="1" applyBorder="1" applyAlignment="1">
      <alignment horizontal="center" vertical="center" wrapText="1"/>
    </xf>
    <xf numFmtId="9" fontId="40" fillId="0" borderId="7" xfId="3" applyFont="1" applyBorder="1" applyAlignment="1">
      <alignment horizontal="center" vertical="center"/>
    </xf>
    <xf numFmtId="166" fontId="40" fillId="0" borderId="61" xfId="1" applyNumberFormat="1" applyFont="1" applyBorder="1" applyAlignment="1">
      <alignment horizontal="center" vertical="center" wrapText="1"/>
    </xf>
    <xf numFmtId="166" fontId="40" fillId="0" borderId="17" xfId="0" applyNumberFormat="1" applyFont="1" applyBorder="1" applyAlignment="1">
      <alignment horizontal="center" vertical="center"/>
    </xf>
    <xf numFmtId="166" fontId="40" fillId="0" borderId="20" xfId="0" applyNumberFormat="1" applyFont="1" applyBorder="1" applyAlignment="1">
      <alignment horizontal="center" vertical="center"/>
    </xf>
    <xf numFmtId="164" fontId="40" fillId="0" borderId="12" xfId="1" applyNumberFormat="1" applyFont="1" applyBorder="1" applyAlignment="1">
      <alignment horizontal="left" vertical="center" wrapText="1"/>
    </xf>
    <xf numFmtId="166" fontId="40" fillId="0" borderId="74" xfId="1" applyNumberFormat="1" applyFont="1" applyBorder="1" applyAlignment="1">
      <alignment horizontal="center" vertical="center" wrapText="1"/>
    </xf>
    <xf numFmtId="166" fontId="40" fillId="0" borderId="0" xfId="2" applyNumberFormat="1" applyFont="1" applyBorder="1" applyAlignment="1">
      <alignment horizontal="center" vertical="center"/>
    </xf>
    <xf numFmtId="166" fontId="40" fillId="0" borderId="17" xfId="1" applyNumberFormat="1" applyFont="1" applyBorder="1" applyAlignment="1">
      <alignment horizontal="center" vertical="center"/>
    </xf>
    <xf numFmtId="166" fontId="40" fillId="0" borderId="12" xfId="0" applyNumberFormat="1" applyFont="1" applyBorder="1" applyAlignment="1">
      <alignment horizontal="center" vertical="center" wrapText="1"/>
    </xf>
    <xf numFmtId="166" fontId="40" fillId="0" borderId="57" xfId="1" applyNumberFormat="1" applyFont="1" applyBorder="1" applyAlignment="1">
      <alignment horizontal="center" vertical="center" wrapText="1"/>
    </xf>
    <xf numFmtId="166" fontId="40" fillId="0" borderId="7" xfId="1" applyNumberFormat="1" applyFont="1" applyFill="1" applyBorder="1" applyAlignment="1">
      <alignment horizontal="center" vertical="center"/>
    </xf>
    <xf numFmtId="166" fontId="40" fillId="0" borderId="7" xfId="1" applyNumberFormat="1" applyFont="1" applyBorder="1" applyAlignment="1">
      <alignment horizontal="center" vertical="center"/>
    </xf>
    <xf numFmtId="9" fontId="40" fillId="0" borderId="17" xfId="3" applyNumberFormat="1" applyFont="1" applyBorder="1" applyAlignment="1">
      <alignment horizontal="center" vertical="center"/>
    </xf>
    <xf numFmtId="9" fontId="40" fillId="0" borderId="20" xfId="3" applyNumberFormat="1" applyFont="1" applyBorder="1" applyAlignment="1">
      <alignment horizontal="center" vertical="center"/>
    </xf>
    <xf numFmtId="166" fontId="40" fillId="0" borderId="0" xfId="0" applyNumberFormat="1" applyFont="1"/>
    <xf numFmtId="166" fontId="40" fillId="0" borderId="0" xfId="0" applyNumberFormat="1" applyFont="1" applyAlignment="1">
      <alignment horizontal="center" vertical="center"/>
    </xf>
    <xf numFmtId="164" fontId="40" fillId="0" borderId="2" xfId="1" applyNumberFormat="1" applyFont="1" applyBorder="1" applyAlignment="1">
      <alignment horizontal="left" vertical="center" wrapText="1"/>
    </xf>
    <xf numFmtId="166" fontId="40" fillId="0" borderId="58" xfId="1" applyNumberFormat="1" applyFont="1" applyBorder="1" applyAlignment="1">
      <alignment horizontal="center" vertical="center" wrapText="1"/>
    </xf>
    <xf numFmtId="166" fontId="40" fillId="0" borderId="2" xfId="0" applyNumberFormat="1" applyFont="1" applyFill="1" applyBorder="1" applyAlignment="1">
      <alignment horizontal="center" vertical="center"/>
    </xf>
    <xf numFmtId="166" fontId="40" fillId="0" borderId="3" xfId="0" applyNumberFormat="1" applyFont="1" applyFill="1" applyBorder="1" applyAlignment="1">
      <alignment horizontal="center" vertical="center"/>
    </xf>
    <xf numFmtId="166" fontId="39" fillId="0" borderId="70" xfId="0" applyNumberFormat="1" applyFont="1" applyBorder="1" applyAlignment="1">
      <alignment horizontal="center" vertical="center" wrapText="1"/>
    </xf>
    <xf numFmtId="9" fontId="40" fillId="0" borderId="0" xfId="3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43" fillId="0" borderId="4" xfId="0" applyFont="1" applyBorder="1" applyAlignment="1">
      <alignment vertical="center"/>
    </xf>
    <xf numFmtId="6" fontId="44" fillId="0" borderId="0" xfId="0" applyNumberFormat="1" applyFont="1" applyBorder="1" applyAlignment="1">
      <alignment horizontal="center" vertical="center" wrapText="1"/>
    </xf>
    <xf numFmtId="167" fontId="44" fillId="0" borderId="5" xfId="0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6" fontId="44" fillId="0" borderId="7" xfId="0" applyNumberFormat="1" applyFont="1" applyBorder="1" applyAlignment="1">
      <alignment horizontal="center" vertical="center" wrapText="1"/>
    </xf>
    <xf numFmtId="167" fontId="44" fillId="0" borderId="8" xfId="0" applyNumberFormat="1" applyFont="1" applyBorder="1" applyAlignment="1">
      <alignment horizontal="center" vertical="center" wrapText="1"/>
    </xf>
    <xf numFmtId="0" fontId="45" fillId="0" borderId="39" xfId="0" applyFont="1" applyBorder="1" applyAlignment="1">
      <alignment horizontal="left" vertical="center"/>
    </xf>
    <xf numFmtId="0" fontId="45" fillId="0" borderId="46" xfId="0" applyFont="1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6" fontId="0" fillId="0" borderId="15" xfId="2" applyNumberFormat="1" applyFont="1" applyBorder="1" applyAlignment="1">
      <alignment horizontal="center" vertical="center"/>
    </xf>
    <xf numFmtId="166" fontId="0" fillId="0" borderId="5" xfId="2" applyNumberFormat="1" applyFont="1" applyBorder="1" applyAlignment="1">
      <alignment horizontal="center" vertical="center"/>
    </xf>
    <xf numFmtId="166" fontId="0" fillId="0" borderId="20" xfId="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3" xfId="1" applyNumberFormat="1" applyFont="1" applyBorder="1" applyAlignment="1">
      <alignment horizontal="center" vertical="center" wrapText="1"/>
    </xf>
    <xf numFmtId="164" fontId="0" fillId="0" borderId="18" xfId="1" applyNumberFormat="1" applyFon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8" xfId="0" applyBorder="1" applyAlignment="1">
      <alignment horizontal="justify" vertical="center" wrapText="1"/>
    </xf>
    <xf numFmtId="0" fontId="0" fillId="0" borderId="57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66" xfId="0" applyFont="1" applyBorder="1" applyAlignment="1">
      <alignment horizontal="justify" vertical="center" wrapText="1"/>
    </xf>
    <xf numFmtId="0" fontId="2" fillId="0" borderId="67" xfId="0" applyFont="1" applyBorder="1" applyAlignment="1">
      <alignment horizontal="justify" vertical="center"/>
    </xf>
    <xf numFmtId="0" fontId="2" fillId="0" borderId="68" xfId="0" applyFont="1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 wrapText="1"/>
    </xf>
    <xf numFmtId="0" fontId="39" fillId="0" borderId="1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37" fontId="40" fillId="0" borderId="2" xfId="1" applyNumberFormat="1" applyFont="1" applyBorder="1" applyAlignment="1">
      <alignment horizontal="center" vertical="center" wrapText="1"/>
    </xf>
    <xf numFmtId="37" fontId="40" fillId="0" borderId="0" xfId="1" applyNumberFormat="1" applyFont="1" applyBorder="1" applyAlignment="1">
      <alignment horizontal="center" vertical="center" wrapText="1"/>
    </xf>
    <xf numFmtId="37" fontId="40" fillId="0" borderId="17" xfId="1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37" fontId="40" fillId="0" borderId="12" xfId="1" applyNumberFormat="1" applyFont="1" applyBorder="1" applyAlignment="1">
      <alignment horizontal="center" vertical="center" wrapText="1"/>
    </xf>
    <xf numFmtId="166" fontId="40" fillId="0" borderId="15" xfId="2" applyNumberFormat="1" applyFont="1" applyBorder="1" applyAlignment="1">
      <alignment horizontal="center" vertical="center"/>
    </xf>
    <xf numFmtId="166" fontId="40" fillId="0" borderId="5" xfId="2" applyNumberFormat="1" applyFont="1" applyBorder="1" applyAlignment="1">
      <alignment horizontal="center" vertical="center"/>
    </xf>
    <xf numFmtId="166" fontId="40" fillId="0" borderId="20" xfId="2" applyNumberFormat="1" applyFont="1" applyBorder="1" applyAlignment="1">
      <alignment horizontal="center" vertical="center"/>
    </xf>
    <xf numFmtId="166" fontId="40" fillId="0" borderId="12" xfId="2" applyNumberFormat="1" applyFont="1" applyBorder="1" applyAlignment="1">
      <alignment horizontal="center" vertical="center"/>
    </xf>
    <xf numFmtId="166" fontId="40" fillId="0" borderId="0" xfId="2" applyNumberFormat="1" applyFont="1" applyBorder="1" applyAlignment="1">
      <alignment horizontal="center" vertical="center"/>
    </xf>
    <xf numFmtId="166" fontId="40" fillId="0" borderId="17" xfId="2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37" fontId="40" fillId="0" borderId="7" xfId="1" applyNumberFormat="1" applyFont="1" applyBorder="1" applyAlignment="1">
      <alignment horizontal="center" vertical="center" wrapText="1"/>
    </xf>
    <xf numFmtId="166" fontId="40" fillId="0" borderId="7" xfId="2" applyNumberFormat="1" applyFont="1" applyBorder="1" applyAlignment="1">
      <alignment horizontal="center" vertical="center"/>
    </xf>
    <xf numFmtId="166" fontId="40" fillId="0" borderId="8" xfId="2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6" xfId="0" applyFont="1" applyBorder="1" applyAlignment="1">
      <alignment vertical="center"/>
    </xf>
    <xf numFmtId="0" fontId="40" fillId="0" borderId="7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38" fillId="0" borderId="1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left" vertical="center" wrapText="1"/>
    </xf>
    <xf numFmtId="0" fontId="42" fillId="20" borderId="4" xfId="0" applyFont="1" applyFill="1" applyBorder="1" applyAlignment="1">
      <alignment horizontal="left" vertical="center"/>
    </xf>
    <xf numFmtId="0" fontId="42" fillId="20" borderId="0" xfId="0" applyFont="1" applyFill="1" applyBorder="1" applyAlignment="1">
      <alignment horizontal="left" vertical="center"/>
    </xf>
    <xf numFmtId="0" fontId="42" fillId="20" borderId="5" xfId="0" applyFont="1" applyFill="1" applyBorder="1" applyAlignment="1">
      <alignment horizontal="left" vertical="center"/>
    </xf>
    <xf numFmtId="0" fontId="37" fillId="0" borderId="0" xfId="0" applyFont="1" applyAlignment="1">
      <alignment horizontal="left" wrapText="1"/>
    </xf>
    <xf numFmtId="0" fontId="44" fillId="0" borderId="2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38" fillId="0" borderId="1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6" fillId="0" borderId="0" xfId="5" applyFont="1" applyAlignment="1">
      <alignment horizontal="left" vertical="center" wrapText="1"/>
    </xf>
    <xf numFmtId="0" fontId="29" fillId="0" borderId="0" xfId="5" applyFont="1" applyAlignment="1">
      <alignment horizontal="left"/>
    </xf>
    <xf numFmtId="0" fontId="28" fillId="0" borderId="0" xfId="5" applyNumberFormat="1" applyFont="1" applyFill="1" applyBorder="1" applyAlignment="1">
      <alignment horizontal="left" vertical="center" wrapText="1" indent="1"/>
    </xf>
    <xf numFmtId="0" fontId="28" fillId="0" borderId="0" xfId="5" applyFont="1" applyAlignment="1">
      <alignment horizontal="left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9">
    <cellStyle name="Comma" xfId="1" builtinId="3"/>
    <cellStyle name="Comma 10" xfId="8"/>
    <cellStyle name="Comma 2" xfId="7"/>
    <cellStyle name="Currency" xfId="2" builtinId="4"/>
    <cellStyle name="Hyperlink" xfId="4" builtinId="8"/>
    <cellStyle name="Normal" xfId="0" builtinId="0"/>
    <cellStyle name="Normal 2" xfId="5"/>
    <cellStyle name="Normal 2 2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The Number of Kansas Families Served by TANF Has Been Falling Over Time, But More Sharply After New Policy Changes in 2011</a:t>
            </a:r>
            <a:endParaRPr lang="en-US" sz="1200">
              <a:effectLst/>
            </a:endParaRPr>
          </a:p>
          <a:p>
            <a:pPr>
              <a:defRPr sz="1200"/>
            </a:pPr>
            <a:r>
              <a:rPr lang="en-US" sz="1200" b="0" i="1" baseline="0">
                <a:effectLst/>
              </a:rPr>
              <a:t>Kansas Caseload Data, by Month and Year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Caseload!$B$1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Caseload!$A$2:$A$256</c:f>
              <c:numCache>
                <c:formatCode>mmm\-yy</c:formatCode>
                <c:ptCount val="255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</c:numCache>
            </c:numRef>
          </c:cat>
          <c:val>
            <c:numRef>
              <c:f>Caseload!$B$2:$B$258</c:f>
              <c:numCache>
                <c:formatCode>#,##0</c:formatCode>
                <c:ptCount val="257"/>
                <c:pt idx="0">
                  <c:v>25811</c:v>
                </c:pt>
                <c:pt idx="1">
                  <c:v>25914</c:v>
                </c:pt>
                <c:pt idx="2">
                  <c:v>24426</c:v>
                </c:pt>
                <c:pt idx="3">
                  <c:v>25413</c:v>
                </c:pt>
                <c:pt idx="4">
                  <c:v>24756</c:v>
                </c:pt>
                <c:pt idx="5">
                  <c:v>24340</c:v>
                </c:pt>
                <c:pt idx="6">
                  <c:v>23943</c:v>
                </c:pt>
                <c:pt idx="7">
                  <c:v>23790</c:v>
                </c:pt>
                <c:pt idx="8">
                  <c:v>23386</c:v>
                </c:pt>
                <c:pt idx="9">
                  <c:v>22807</c:v>
                </c:pt>
                <c:pt idx="10">
                  <c:v>22252</c:v>
                </c:pt>
                <c:pt idx="11">
                  <c:v>21916</c:v>
                </c:pt>
                <c:pt idx="12">
                  <c:v>21732</c:v>
                </c:pt>
                <c:pt idx="13">
                  <c:v>21700</c:v>
                </c:pt>
                <c:pt idx="14">
                  <c:v>21262</c:v>
                </c:pt>
                <c:pt idx="15">
                  <c:v>20469</c:v>
                </c:pt>
                <c:pt idx="16">
                  <c:v>19256</c:v>
                </c:pt>
                <c:pt idx="17">
                  <c:v>18198</c:v>
                </c:pt>
                <c:pt idx="18">
                  <c:v>18235</c:v>
                </c:pt>
                <c:pt idx="19">
                  <c:v>17795</c:v>
                </c:pt>
                <c:pt idx="20">
                  <c:v>16990</c:v>
                </c:pt>
                <c:pt idx="21">
                  <c:v>16218</c:v>
                </c:pt>
                <c:pt idx="22">
                  <c:v>15676</c:v>
                </c:pt>
                <c:pt idx="23">
                  <c:v>15144</c:v>
                </c:pt>
                <c:pt idx="24">
                  <c:v>15103</c:v>
                </c:pt>
                <c:pt idx="25">
                  <c:v>14445</c:v>
                </c:pt>
                <c:pt idx="26">
                  <c:v>13821</c:v>
                </c:pt>
                <c:pt idx="27">
                  <c:v>13602</c:v>
                </c:pt>
                <c:pt idx="28">
                  <c:v>13231</c:v>
                </c:pt>
                <c:pt idx="29">
                  <c:v>12984</c:v>
                </c:pt>
                <c:pt idx="30">
                  <c:v>13094</c:v>
                </c:pt>
                <c:pt idx="31">
                  <c:v>13226</c:v>
                </c:pt>
                <c:pt idx="32">
                  <c:v>13091</c:v>
                </c:pt>
                <c:pt idx="33">
                  <c:v>12784</c:v>
                </c:pt>
                <c:pt idx="34">
                  <c:v>13054</c:v>
                </c:pt>
                <c:pt idx="35">
                  <c:v>13041</c:v>
                </c:pt>
                <c:pt idx="36">
                  <c:v>13082</c:v>
                </c:pt>
                <c:pt idx="37">
                  <c:v>12932</c:v>
                </c:pt>
                <c:pt idx="38">
                  <c:v>12931</c:v>
                </c:pt>
                <c:pt idx="39">
                  <c:v>12799</c:v>
                </c:pt>
                <c:pt idx="40">
                  <c:v>12645</c:v>
                </c:pt>
                <c:pt idx="41">
                  <c:v>12497</c:v>
                </c:pt>
                <c:pt idx="42">
                  <c:v>12722</c:v>
                </c:pt>
                <c:pt idx="43">
                  <c:v>12927</c:v>
                </c:pt>
                <c:pt idx="44">
                  <c:v>12722</c:v>
                </c:pt>
                <c:pt idx="45">
                  <c:v>12903</c:v>
                </c:pt>
                <c:pt idx="46">
                  <c:v>12685</c:v>
                </c:pt>
                <c:pt idx="47">
                  <c:v>12451</c:v>
                </c:pt>
                <c:pt idx="48">
                  <c:v>12590</c:v>
                </c:pt>
                <c:pt idx="49">
                  <c:v>12271</c:v>
                </c:pt>
                <c:pt idx="50">
                  <c:v>12394</c:v>
                </c:pt>
                <c:pt idx="51">
                  <c:v>12404</c:v>
                </c:pt>
                <c:pt idx="52">
                  <c:v>12223</c:v>
                </c:pt>
                <c:pt idx="53">
                  <c:v>12469</c:v>
                </c:pt>
                <c:pt idx="54">
                  <c:v>12713</c:v>
                </c:pt>
                <c:pt idx="55">
                  <c:v>13085</c:v>
                </c:pt>
                <c:pt idx="56">
                  <c:v>12832</c:v>
                </c:pt>
                <c:pt idx="57">
                  <c:v>12850</c:v>
                </c:pt>
                <c:pt idx="58">
                  <c:v>12700</c:v>
                </c:pt>
                <c:pt idx="59">
                  <c:v>12567</c:v>
                </c:pt>
                <c:pt idx="60">
                  <c:v>12878</c:v>
                </c:pt>
                <c:pt idx="61">
                  <c:v>12710</c:v>
                </c:pt>
                <c:pt idx="62">
                  <c:v>12864</c:v>
                </c:pt>
                <c:pt idx="63">
                  <c:v>12982</c:v>
                </c:pt>
                <c:pt idx="64">
                  <c:v>13078</c:v>
                </c:pt>
                <c:pt idx="65">
                  <c:v>13105</c:v>
                </c:pt>
                <c:pt idx="66">
                  <c:v>13484</c:v>
                </c:pt>
                <c:pt idx="67">
                  <c:v>13553</c:v>
                </c:pt>
                <c:pt idx="68">
                  <c:v>13647</c:v>
                </c:pt>
                <c:pt idx="69">
                  <c:v>13566</c:v>
                </c:pt>
                <c:pt idx="70">
                  <c:v>13669</c:v>
                </c:pt>
                <c:pt idx="71">
                  <c:v>13655</c:v>
                </c:pt>
                <c:pt idx="72">
                  <c:v>13884</c:v>
                </c:pt>
                <c:pt idx="73">
                  <c:v>13810</c:v>
                </c:pt>
                <c:pt idx="74">
                  <c:v>13879</c:v>
                </c:pt>
                <c:pt idx="75">
                  <c:v>13767</c:v>
                </c:pt>
                <c:pt idx="76">
                  <c:v>13823</c:v>
                </c:pt>
                <c:pt idx="77">
                  <c:v>13919</c:v>
                </c:pt>
                <c:pt idx="78">
                  <c:v>14268</c:v>
                </c:pt>
                <c:pt idx="79">
                  <c:v>14568</c:v>
                </c:pt>
                <c:pt idx="80">
                  <c:v>14693</c:v>
                </c:pt>
                <c:pt idx="81">
                  <c:v>14777</c:v>
                </c:pt>
                <c:pt idx="82">
                  <c:v>14792</c:v>
                </c:pt>
                <c:pt idx="83">
                  <c:v>14755</c:v>
                </c:pt>
                <c:pt idx="84">
                  <c:v>14970</c:v>
                </c:pt>
                <c:pt idx="85">
                  <c:v>14935</c:v>
                </c:pt>
                <c:pt idx="86">
                  <c:v>15092</c:v>
                </c:pt>
                <c:pt idx="87">
                  <c:v>15197</c:v>
                </c:pt>
                <c:pt idx="88">
                  <c:v>15407</c:v>
                </c:pt>
                <c:pt idx="89">
                  <c:v>15676</c:v>
                </c:pt>
                <c:pt idx="90">
                  <c:v>15892</c:v>
                </c:pt>
                <c:pt idx="91">
                  <c:v>16247</c:v>
                </c:pt>
                <c:pt idx="92">
                  <c:v>15859</c:v>
                </c:pt>
                <c:pt idx="93">
                  <c:v>16164</c:v>
                </c:pt>
                <c:pt idx="94">
                  <c:v>16114</c:v>
                </c:pt>
                <c:pt idx="95">
                  <c:v>16156</c:v>
                </c:pt>
                <c:pt idx="96">
                  <c:v>16429</c:v>
                </c:pt>
                <c:pt idx="97">
                  <c:v>16574</c:v>
                </c:pt>
                <c:pt idx="98">
                  <c:v>16741</c:v>
                </c:pt>
                <c:pt idx="99">
                  <c:v>16610</c:v>
                </c:pt>
                <c:pt idx="100">
                  <c:v>16663</c:v>
                </c:pt>
                <c:pt idx="101">
                  <c:v>16870</c:v>
                </c:pt>
                <c:pt idx="102">
                  <c:v>17304</c:v>
                </c:pt>
                <c:pt idx="103">
                  <c:v>17703</c:v>
                </c:pt>
                <c:pt idx="104">
                  <c:v>17636</c:v>
                </c:pt>
                <c:pt idx="105">
                  <c:v>17622</c:v>
                </c:pt>
                <c:pt idx="106">
                  <c:v>17476</c:v>
                </c:pt>
                <c:pt idx="107">
                  <c:v>17441</c:v>
                </c:pt>
                <c:pt idx="108">
                  <c:v>17673</c:v>
                </c:pt>
                <c:pt idx="109">
                  <c:v>17531</c:v>
                </c:pt>
                <c:pt idx="110">
                  <c:v>17399</c:v>
                </c:pt>
                <c:pt idx="111">
                  <c:v>17492</c:v>
                </c:pt>
                <c:pt idx="112">
                  <c:v>17488</c:v>
                </c:pt>
                <c:pt idx="113">
                  <c:v>17404</c:v>
                </c:pt>
                <c:pt idx="114">
                  <c:v>17812</c:v>
                </c:pt>
                <c:pt idx="115">
                  <c:v>17996</c:v>
                </c:pt>
                <c:pt idx="116">
                  <c:v>18126</c:v>
                </c:pt>
                <c:pt idx="117">
                  <c:v>17994</c:v>
                </c:pt>
                <c:pt idx="118">
                  <c:v>17491</c:v>
                </c:pt>
                <c:pt idx="119">
                  <c:v>17400</c:v>
                </c:pt>
                <c:pt idx="120">
                  <c:v>17378</c:v>
                </c:pt>
                <c:pt idx="121">
                  <c:v>17113</c:v>
                </c:pt>
                <c:pt idx="122">
                  <c:v>17052</c:v>
                </c:pt>
                <c:pt idx="123">
                  <c:v>17106</c:v>
                </c:pt>
                <c:pt idx="124">
                  <c:v>16947</c:v>
                </c:pt>
                <c:pt idx="125">
                  <c:v>16963</c:v>
                </c:pt>
                <c:pt idx="126">
                  <c:v>17129</c:v>
                </c:pt>
                <c:pt idx="127">
                  <c:v>17236</c:v>
                </c:pt>
                <c:pt idx="128">
                  <c:v>16370</c:v>
                </c:pt>
                <c:pt idx="129">
                  <c:v>15995</c:v>
                </c:pt>
                <c:pt idx="130">
                  <c:v>15319</c:v>
                </c:pt>
                <c:pt idx="131">
                  <c:v>15059</c:v>
                </c:pt>
                <c:pt idx="132">
                  <c:v>14813</c:v>
                </c:pt>
                <c:pt idx="133">
                  <c:v>14527</c:v>
                </c:pt>
                <c:pt idx="134">
                  <c:v>14406</c:v>
                </c:pt>
                <c:pt idx="135">
                  <c:v>14307</c:v>
                </c:pt>
                <c:pt idx="136">
                  <c:v>14296</c:v>
                </c:pt>
                <c:pt idx="137">
                  <c:v>14197</c:v>
                </c:pt>
                <c:pt idx="138">
                  <c:v>14129</c:v>
                </c:pt>
                <c:pt idx="139">
                  <c:v>14277</c:v>
                </c:pt>
                <c:pt idx="140">
                  <c:v>13876</c:v>
                </c:pt>
                <c:pt idx="141">
                  <c:v>13484</c:v>
                </c:pt>
                <c:pt idx="142">
                  <c:v>13047</c:v>
                </c:pt>
                <c:pt idx="143">
                  <c:v>12837</c:v>
                </c:pt>
                <c:pt idx="144">
                  <c:v>12768</c:v>
                </c:pt>
                <c:pt idx="145">
                  <c:v>12575</c:v>
                </c:pt>
                <c:pt idx="146">
                  <c:v>12308</c:v>
                </c:pt>
                <c:pt idx="147">
                  <c:v>12045</c:v>
                </c:pt>
                <c:pt idx="148">
                  <c:v>11923</c:v>
                </c:pt>
                <c:pt idx="149">
                  <c:v>11929</c:v>
                </c:pt>
                <c:pt idx="150">
                  <c:v>12024</c:v>
                </c:pt>
                <c:pt idx="151">
                  <c:v>12358</c:v>
                </c:pt>
                <c:pt idx="152">
                  <c:v>12440</c:v>
                </c:pt>
                <c:pt idx="153">
                  <c:v>12327</c:v>
                </c:pt>
                <c:pt idx="154">
                  <c:v>12064</c:v>
                </c:pt>
                <c:pt idx="155">
                  <c:v>12182</c:v>
                </c:pt>
                <c:pt idx="156">
                  <c:v>12169</c:v>
                </c:pt>
                <c:pt idx="157">
                  <c:v>12233</c:v>
                </c:pt>
                <c:pt idx="158">
                  <c:v>12320</c:v>
                </c:pt>
                <c:pt idx="159">
                  <c:v>12412</c:v>
                </c:pt>
                <c:pt idx="160">
                  <c:v>12611</c:v>
                </c:pt>
                <c:pt idx="161">
                  <c:v>12825</c:v>
                </c:pt>
                <c:pt idx="162">
                  <c:v>13381</c:v>
                </c:pt>
                <c:pt idx="163">
                  <c:v>13740</c:v>
                </c:pt>
                <c:pt idx="164">
                  <c:v>13675</c:v>
                </c:pt>
                <c:pt idx="165">
                  <c:v>13773</c:v>
                </c:pt>
                <c:pt idx="166">
                  <c:v>13547</c:v>
                </c:pt>
                <c:pt idx="167">
                  <c:v>13599</c:v>
                </c:pt>
                <c:pt idx="168">
                  <c:v>13569</c:v>
                </c:pt>
                <c:pt idx="169">
                  <c:v>13557</c:v>
                </c:pt>
                <c:pt idx="170">
                  <c:v>13419</c:v>
                </c:pt>
                <c:pt idx="171">
                  <c:v>13409</c:v>
                </c:pt>
                <c:pt idx="172">
                  <c:v>13341</c:v>
                </c:pt>
                <c:pt idx="173">
                  <c:v>13345</c:v>
                </c:pt>
                <c:pt idx="174">
                  <c:v>13871</c:v>
                </c:pt>
                <c:pt idx="175">
                  <c:v>14386</c:v>
                </c:pt>
                <c:pt idx="176">
                  <c:v>14548</c:v>
                </c:pt>
                <c:pt idx="177">
                  <c:v>14639</c:v>
                </c:pt>
                <c:pt idx="178">
                  <c:v>14421</c:v>
                </c:pt>
                <c:pt idx="179">
                  <c:v>14460</c:v>
                </c:pt>
                <c:pt idx="180">
                  <c:v>14366</c:v>
                </c:pt>
                <c:pt idx="181">
                  <c:v>13983</c:v>
                </c:pt>
                <c:pt idx="182">
                  <c:v>13837</c:v>
                </c:pt>
                <c:pt idx="183">
                  <c:v>13682</c:v>
                </c:pt>
                <c:pt idx="184">
                  <c:v>13375</c:v>
                </c:pt>
                <c:pt idx="185">
                  <c:v>13210</c:v>
                </c:pt>
                <c:pt idx="186">
                  <c:v>13228</c:v>
                </c:pt>
                <c:pt idx="187">
                  <c:v>13337</c:v>
                </c:pt>
                <c:pt idx="188">
                  <c:v>13231</c:v>
                </c:pt>
                <c:pt idx="189">
                  <c:v>13014</c:v>
                </c:pt>
                <c:pt idx="190">
                  <c:v>12338</c:v>
                </c:pt>
                <c:pt idx="191">
                  <c:v>11809</c:v>
                </c:pt>
                <c:pt idx="192">
                  <c:v>11284</c:v>
                </c:pt>
                <c:pt idx="193">
                  <c:v>10856</c:v>
                </c:pt>
                <c:pt idx="194">
                  <c:v>10325</c:v>
                </c:pt>
                <c:pt idx="195">
                  <c:v>9940</c:v>
                </c:pt>
                <c:pt idx="196">
                  <c:v>9531</c:v>
                </c:pt>
                <c:pt idx="197">
                  <c:v>9323</c:v>
                </c:pt>
                <c:pt idx="198">
                  <c:v>9265</c:v>
                </c:pt>
                <c:pt idx="199">
                  <c:v>9246</c:v>
                </c:pt>
                <c:pt idx="200">
                  <c:v>9140</c:v>
                </c:pt>
                <c:pt idx="201">
                  <c:v>9076</c:v>
                </c:pt>
                <c:pt idx="202">
                  <c:v>8643</c:v>
                </c:pt>
                <c:pt idx="203">
                  <c:v>8449</c:v>
                </c:pt>
                <c:pt idx="204">
                  <c:v>8252</c:v>
                </c:pt>
                <c:pt idx="205">
                  <c:v>8011</c:v>
                </c:pt>
                <c:pt idx="206">
                  <c:v>7747</c:v>
                </c:pt>
                <c:pt idx="207">
                  <c:v>7732</c:v>
                </c:pt>
                <c:pt idx="208">
                  <c:v>7489</c:v>
                </c:pt>
                <c:pt idx="209">
                  <c:v>7256</c:v>
                </c:pt>
                <c:pt idx="210">
                  <c:v>7265</c:v>
                </c:pt>
                <c:pt idx="211">
                  <c:v>7341</c:v>
                </c:pt>
                <c:pt idx="212">
                  <c:v>7243</c:v>
                </c:pt>
                <c:pt idx="213">
                  <c:v>7241</c:v>
                </c:pt>
                <c:pt idx="214">
                  <c:v>7001</c:v>
                </c:pt>
                <c:pt idx="215">
                  <c:v>6965</c:v>
                </c:pt>
                <c:pt idx="216">
                  <c:v>6803</c:v>
                </c:pt>
                <c:pt idx="217">
                  <c:v>6643</c:v>
                </c:pt>
                <c:pt idx="218">
                  <c:v>6548</c:v>
                </c:pt>
                <c:pt idx="219">
                  <c:v>6333</c:v>
                </c:pt>
                <c:pt idx="220">
                  <c:v>6274</c:v>
                </c:pt>
                <c:pt idx="221">
                  <c:v>6190</c:v>
                </c:pt>
                <c:pt idx="222">
                  <c:v>6331</c:v>
                </c:pt>
                <c:pt idx="223">
                  <c:v>6325</c:v>
                </c:pt>
                <c:pt idx="224">
                  <c:v>6245</c:v>
                </c:pt>
                <c:pt idx="225">
                  <c:v>6174</c:v>
                </c:pt>
                <c:pt idx="226">
                  <c:v>5987</c:v>
                </c:pt>
                <c:pt idx="227">
                  <c:v>5978</c:v>
                </c:pt>
                <c:pt idx="228">
                  <c:v>5814</c:v>
                </c:pt>
                <c:pt idx="229">
                  <c:v>5835</c:v>
                </c:pt>
                <c:pt idx="230">
                  <c:v>5739</c:v>
                </c:pt>
                <c:pt idx="231">
                  <c:v>5674</c:v>
                </c:pt>
                <c:pt idx="232">
                  <c:v>5563</c:v>
                </c:pt>
                <c:pt idx="233">
                  <c:v>5402</c:v>
                </c:pt>
                <c:pt idx="234">
                  <c:v>5691</c:v>
                </c:pt>
                <c:pt idx="235">
                  <c:v>5739</c:v>
                </c:pt>
                <c:pt idx="236">
                  <c:v>5754</c:v>
                </c:pt>
                <c:pt idx="237">
                  <c:v>5799</c:v>
                </c:pt>
                <c:pt idx="238">
                  <c:v>5600</c:v>
                </c:pt>
                <c:pt idx="239">
                  <c:v>5496</c:v>
                </c:pt>
                <c:pt idx="240">
                  <c:v>5370</c:v>
                </c:pt>
                <c:pt idx="241">
                  <c:v>5161</c:v>
                </c:pt>
                <c:pt idx="242">
                  <c:v>4941</c:v>
                </c:pt>
                <c:pt idx="243">
                  <c:v>4910</c:v>
                </c:pt>
                <c:pt idx="244">
                  <c:v>5040</c:v>
                </c:pt>
                <c:pt idx="245">
                  <c:v>5187</c:v>
                </c:pt>
                <c:pt idx="246">
                  <c:v>5231</c:v>
                </c:pt>
                <c:pt idx="247">
                  <c:v>5316</c:v>
                </c:pt>
                <c:pt idx="248">
                  <c:v>5262</c:v>
                </c:pt>
                <c:pt idx="249">
                  <c:v>5231</c:v>
                </c:pt>
                <c:pt idx="250">
                  <c:v>5072</c:v>
                </c:pt>
                <c:pt idx="251">
                  <c:v>5004</c:v>
                </c:pt>
                <c:pt idx="252">
                  <c:v>4863</c:v>
                </c:pt>
                <c:pt idx="253">
                  <c:v>4649</c:v>
                </c:pt>
                <c:pt idx="254">
                  <c:v>4562</c:v>
                </c:pt>
                <c:pt idx="255">
                  <c:v>4398</c:v>
                </c:pt>
                <c:pt idx="256">
                  <c:v>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1-4845-BBA9-1AC67F566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468520"/>
        <c:axId val="897884200"/>
      </c:lineChart>
      <c:dateAx>
        <c:axId val="617468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884200"/>
        <c:crosses val="autoZero"/>
        <c:auto val="1"/>
        <c:lblOffset val="100"/>
        <c:baseTimeUnit val="months"/>
      </c:dateAx>
      <c:valAx>
        <c:axId val="89788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68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earnings overtime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3867016622922"/>
          <c:y val="0.18560185185185185"/>
          <c:w val="0.78905774278215224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in Peter''s Paper_Pct Chg'!$Q$124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$131.1</a:t>
                    </a:r>
                    <a:r>
                      <a:rPr lang="en-US" baseline="0"/>
                      <a:t> 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39-4BC8-9899-B06F9F7FE9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$192</a:t>
                    </a:r>
                    <a:r>
                      <a:rPr lang="en-US" baseline="0"/>
                      <a:t> 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39-4BC8-9899-B06F9F7FE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in Peter''s Paper_Pct Chg'!$R$123:$S$123</c:f>
              <c:strCache>
                <c:ptCount val="2"/>
                <c:pt idx="0">
                  <c:v>Year Before Exit Quarter</c:v>
                </c:pt>
                <c:pt idx="1">
                  <c:v>Year After Exit Quarter</c:v>
                </c:pt>
              </c:strCache>
            </c:strRef>
          </c:cat>
          <c:val>
            <c:numRef>
              <c:f>'Tables in Peter''s Paper_Pct Chg'!$R$124:$S$124</c:f>
              <c:numCache>
                <c:formatCode>"$"#,##0</c:formatCode>
                <c:ptCount val="2"/>
                <c:pt idx="0">
                  <c:v>130099357.04499999</c:v>
                </c:pt>
                <c:pt idx="1">
                  <c:v>191991122.715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9-4BC8-9899-B06F9F7FE924}"/>
            </c:ext>
          </c:extLst>
        </c:ser>
        <c:ser>
          <c:idx val="1"/>
          <c:order val="1"/>
          <c:tx>
            <c:strRef>
              <c:f>'Tables in Peter''s Paper_Pct Chg'!$Q$125</c:f>
              <c:strCache>
                <c:ptCount val="1"/>
                <c:pt idx="0">
                  <c:v>Work Sanction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$28.1 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39-4BC8-9899-B06F9F7FE9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$36.7 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39-4BC8-9899-B06F9F7FE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in Peter''s Paper_Pct Chg'!$R$123:$S$123</c:f>
              <c:strCache>
                <c:ptCount val="2"/>
                <c:pt idx="0">
                  <c:v>Year Before Exit Quarter</c:v>
                </c:pt>
                <c:pt idx="1">
                  <c:v>Year After Exit Quarter</c:v>
                </c:pt>
              </c:strCache>
            </c:strRef>
          </c:cat>
          <c:val>
            <c:numRef>
              <c:f>'Tables in Peter''s Paper_Pct Chg'!$R$125:$S$125</c:f>
              <c:numCache>
                <c:formatCode>"$"#,##0</c:formatCode>
                <c:ptCount val="2"/>
                <c:pt idx="0">
                  <c:v>28059181.710000001</c:v>
                </c:pt>
                <c:pt idx="1">
                  <c:v>36707615.07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9-4BC8-9899-B06F9F7FE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207328"/>
        <c:axId val="378209296"/>
      </c:barChart>
      <c:catAx>
        <c:axId val="3782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209296"/>
        <c:crosses val="autoZero"/>
        <c:auto val="1"/>
        <c:lblAlgn val="ctr"/>
        <c:lblOffset val="100"/>
        <c:noMultiLvlLbl val="0"/>
      </c:catAx>
      <c:valAx>
        <c:axId val="378209296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3782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2012 Cohort,</a:t>
            </a:r>
            <a:r>
              <a:rPr lang="en-US" baseline="0"/>
              <a:t> Earnings Over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'Tables in Peter''s Paper_Pct Chg'!$B$180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'Tables in Peter''s Paper_Pct Chg'!$C$179:$G$179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'Tables in Peter''s Paper_Pct Chg'!$C$180:$G$180</c:f>
              <c:numCache>
                <c:formatCode>"$"#,##0</c:formatCode>
                <c:ptCount val="5"/>
                <c:pt idx="0">
                  <c:v>27654488.245999999</c:v>
                </c:pt>
                <c:pt idx="1">
                  <c:v>41663108.564000003</c:v>
                </c:pt>
                <c:pt idx="2">
                  <c:v>46210844.214000002</c:v>
                </c:pt>
                <c:pt idx="3">
                  <c:v>49876807.339000002</c:v>
                </c:pt>
                <c:pt idx="4">
                  <c:v>52703102.479999997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1-4332-A0D9-7B7A887B6993}"/>
            </c:ext>
          </c:extLst>
        </c:ser>
        <c:ser>
          <c:idx val="1"/>
          <c:order val="1"/>
          <c:tx>
            <c:strRef>
              <c:f>'Tables in Peter''s Paper_Pct Chg'!$B$181</c:f>
              <c:strCache>
                <c:ptCount val="1"/>
                <c:pt idx="0">
                  <c:v>WS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'Tables in Peter''s Paper_Pct Chg'!$C$179:$G$179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'Tables in Peter''s Paper_Pct Chg'!$C$181:$G$181</c:f>
              <c:numCache>
                <c:formatCode>"$"#,##0</c:formatCode>
                <c:ptCount val="5"/>
                <c:pt idx="0">
                  <c:v>4135416.594</c:v>
                </c:pt>
                <c:pt idx="1">
                  <c:v>5729149.8960000006</c:v>
                </c:pt>
                <c:pt idx="2">
                  <c:v>7159422.5460000001</c:v>
                </c:pt>
                <c:pt idx="3">
                  <c:v>8142874.6799999997</c:v>
                </c:pt>
                <c:pt idx="4">
                  <c:v>9050302.6500000004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1-4332-A0D9-7B7A887B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284960"/>
        <c:axId val="463285288"/>
      </c:lineChart>
      <c:catAx>
        <c:axId val="4632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285288"/>
        <c:crosses val="autoZero"/>
        <c:auto val="1"/>
        <c:lblAlgn val="ctr"/>
        <c:lblOffset val="100"/>
        <c:noMultiLvlLbl val="0"/>
      </c:catAx>
      <c:valAx>
        <c:axId val="46328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28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Change in</a:t>
            </a:r>
            <a:r>
              <a:rPr lang="en-US" baseline="0"/>
              <a:t> Earnings from the Previous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Work Sanction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'Tables in Peter''s Paper_Pct Chg'!$K$92:$K$95</c:f>
              <c:numCache>
                <c:formatCode>0.0%</c:formatCode>
                <c:ptCount val="4"/>
                <c:pt idx="0">
                  <c:v>0.27817971792162732</c:v>
                </c:pt>
                <c:pt idx="1">
                  <c:v>0.24964832059963948</c:v>
                </c:pt>
                <c:pt idx="2">
                  <c:v>0.13736472846535067</c:v>
                </c:pt>
                <c:pt idx="3">
                  <c:v>0.11143828262870929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D-4486-81E4-F3581ED3F55C}"/>
            </c:ext>
          </c:extLst>
        </c:ser>
        <c:ser>
          <c:idx val="1"/>
          <c:order val="1"/>
          <c:tx>
            <c:v>All Families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'Tables in Peter''s Paper_Pct Chg'!$AC$92:$AC$95</c:f>
              <c:numCache>
                <c:formatCode>0.0%</c:formatCode>
                <c:ptCount val="4"/>
                <c:pt idx="0">
                  <c:v>0.50655865309770243</c:v>
                </c:pt>
                <c:pt idx="1">
                  <c:v>0.10915497683073935</c:v>
                </c:pt>
                <c:pt idx="2">
                  <c:v>7.9331230306529707E-2</c:v>
                </c:pt>
                <c:pt idx="3">
                  <c:v>5.6665518339824444E-2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D-4486-81E4-F3581ED3F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490472"/>
        <c:axId val="567489160"/>
      </c:barChart>
      <c:catAx>
        <c:axId val="567490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89160"/>
        <c:crosses val="autoZero"/>
        <c:auto val="1"/>
        <c:lblAlgn val="ctr"/>
        <c:lblOffset val="100"/>
        <c:noMultiLvlLbl val="0"/>
      </c:catAx>
      <c:valAx>
        <c:axId val="5674891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6749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Earnings</a:t>
            </a:r>
            <a:r>
              <a:rPr lang="en-US" b="1" baseline="0"/>
              <a:t> Grew During the Study Period, But Remained Below the Federal Poverty Line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'Tables in Peter''s Paper_Pct Chg'!$AB$24</c:f>
              <c:strCache>
                <c:ptCount val="1"/>
                <c:pt idx="0">
                  <c:v>Year Before Exit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in Peter''s Paper_Pct Chg'!$AC$23:$AF$23</c:f>
              <c:strCache>
                <c:ptCount val="4"/>
                <c:pt idx="0">
                  <c:v>Mean Earnings, All </c:v>
                </c:pt>
                <c:pt idx="1">
                  <c:v>Median Earnings, All</c:v>
                </c:pt>
                <c:pt idx="2">
                  <c:v>Mean Earnings, Families with Earnings</c:v>
                </c:pt>
                <c:pt idx="3">
                  <c:v>Median Earnings, Families with Earnings</c:v>
                </c:pt>
              </c:strCache>
            </c:strRef>
          </c:cat>
          <c:val>
            <c:numRef>
              <c:f>'Tables in Peter''s Paper_Pct Chg'!$AC$24:$AF$24</c:f>
              <c:numCache>
                <c:formatCode>"$"#,##0</c:formatCode>
                <c:ptCount val="4"/>
                <c:pt idx="0">
                  <c:v>5552.6779999999999</c:v>
                </c:pt>
                <c:pt idx="1">
                  <c:v>2552.19</c:v>
                </c:pt>
                <c:pt idx="2">
                  <c:v>7802.8729999999996</c:v>
                </c:pt>
                <c:pt idx="3">
                  <c:v>5466.88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A-494C-9307-BCB9EABCA2A7}"/>
            </c:ext>
          </c:extLst>
        </c:ser>
        <c:ser>
          <c:idx val="1"/>
          <c:order val="1"/>
          <c:tx>
            <c:strRef>
              <c:f>'Tables in Peter''s Paper_Pct Chg'!$AB$25</c:f>
              <c:strCache>
                <c:ptCount val="1"/>
                <c:pt idx="0">
                  <c:v>Year After 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in Peter''s Paper_Pct Chg'!$AC$23:$AF$23</c:f>
              <c:strCache>
                <c:ptCount val="4"/>
                <c:pt idx="0">
                  <c:v>Mean Earnings, All </c:v>
                </c:pt>
                <c:pt idx="1">
                  <c:v>Median Earnings, All</c:v>
                </c:pt>
                <c:pt idx="2">
                  <c:v>Mean Earnings, Families with Earnings</c:v>
                </c:pt>
                <c:pt idx="3">
                  <c:v>Median Earnings, Families with Earnings</c:v>
                </c:pt>
              </c:strCache>
            </c:strRef>
          </c:cat>
          <c:val>
            <c:numRef>
              <c:f>'Tables in Peter''s Paper_Pct Chg'!$AC$25:$AF$25</c:f>
              <c:numCache>
                <c:formatCode>"$"#,##0</c:formatCode>
                <c:ptCount val="4"/>
                <c:pt idx="0">
                  <c:v>8316.73</c:v>
                </c:pt>
                <c:pt idx="1">
                  <c:v>4232.93</c:v>
                </c:pt>
                <c:pt idx="2">
                  <c:v>11794.57</c:v>
                </c:pt>
                <c:pt idx="3">
                  <c:v>9338.64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A-494C-9307-BCB9EABCA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476024"/>
        <c:axId val="544476352"/>
      </c:barChart>
      <c:catAx>
        <c:axId val="54447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476352"/>
        <c:crosses val="autoZero"/>
        <c:auto val="1"/>
        <c:lblAlgn val="ctr"/>
        <c:lblOffset val="100"/>
        <c:noMultiLvlLbl val="0"/>
      </c:catAx>
      <c:valAx>
        <c:axId val="544476352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5444760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Earnings Grew During the Study Period, But Remained Below the Federal Poverty Line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'Tables in Peter''s Paper_Pct Chg'!$AB$122</c:f>
              <c:strCache>
                <c:ptCount val="1"/>
                <c:pt idx="0">
                  <c:v>Year Before Exit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in Peter''s Paper_Pct Chg'!$AC$121:$AF$121</c:f>
              <c:strCache>
                <c:ptCount val="4"/>
                <c:pt idx="0">
                  <c:v>Mean Earnings, All </c:v>
                </c:pt>
                <c:pt idx="1">
                  <c:v>Median Earnings, All</c:v>
                </c:pt>
                <c:pt idx="2">
                  <c:v>Mean Earnings, Families with Earnings</c:v>
                </c:pt>
                <c:pt idx="3">
                  <c:v>Median Earnings, Families with Earnings</c:v>
                </c:pt>
              </c:strCache>
            </c:strRef>
          </c:cat>
          <c:val>
            <c:numRef>
              <c:f>'Tables in Peter''s Paper_Pct Chg'!$AC$122:$AF$122</c:f>
              <c:numCache>
                <c:formatCode>"$"#,##0</c:formatCode>
                <c:ptCount val="4"/>
                <c:pt idx="0">
                  <c:v>5780.9089999999997</c:v>
                </c:pt>
                <c:pt idx="1">
                  <c:v>2665.8829999999998</c:v>
                </c:pt>
                <c:pt idx="2">
                  <c:v>8123.5940000000001</c:v>
                </c:pt>
                <c:pt idx="3">
                  <c:v>5685.4049999999997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B-45FB-954A-63C36CFE9745}"/>
            </c:ext>
          </c:extLst>
        </c:ser>
        <c:ser>
          <c:idx val="1"/>
          <c:order val="1"/>
          <c:tx>
            <c:strRef>
              <c:f>'Tables in Peter''s Paper_Pct Chg'!$AB$123</c:f>
              <c:strCache>
                <c:ptCount val="1"/>
                <c:pt idx="0">
                  <c:v>Year After 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'Tables in Peter''s Paper_Pct Chg'!$AC$121:$AF$121</c:f>
              <c:strCache>
                <c:ptCount val="4"/>
                <c:pt idx="0">
                  <c:v>Mean Earnings, All </c:v>
                </c:pt>
                <c:pt idx="1">
                  <c:v>Median Earnings, All</c:v>
                </c:pt>
                <c:pt idx="2">
                  <c:v>Mean Earnings, Families with Earnings</c:v>
                </c:pt>
                <c:pt idx="3">
                  <c:v>Median Earnings, Families with Earnings</c:v>
                </c:pt>
              </c:strCache>
            </c:strRef>
          </c:cat>
          <c:val>
            <c:numRef>
              <c:f>'Tables in Peter''s Paper_Pct Chg'!$AC$123:$AF$123</c:f>
              <c:numCache>
                <c:formatCode>"$"#,##0</c:formatCode>
                <c:ptCount val="4"/>
                <c:pt idx="0">
                  <c:v>8531.0429999999997</c:v>
                </c:pt>
                <c:pt idx="1">
                  <c:v>4339.3509999999997</c:v>
                </c:pt>
                <c:pt idx="2">
                  <c:v>12098.5</c:v>
                </c:pt>
                <c:pt idx="3">
                  <c:v>9602.4419999999991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B-45FB-954A-63C36CFE9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419144"/>
        <c:axId val="542423736"/>
      </c:barChart>
      <c:catAx>
        <c:axId val="54241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423736"/>
        <c:crosses val="autoZero"/>
        <c:auto val="1"/>
        <c:lblAlgn val="ctr"/>
        <c:lblOffset val="100"/>
        <c:noMultiLvlLbl val="0"/>
      </c:catAx>
      <c:valAx>
        <c:axId val="542423736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54241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Mean Earnings Grew Over Time Among the 2012 Cohort, But Gains Weren't Enough to Lift Families Above the Poverty Line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9371026287352744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72003499562554"/>
          <c:y val="0.18097222222222226"/>
          <c:w val="0.80172440944881884"/>
          <c:h val="0.564127661125692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'Tables in Peter''s Paper_Pct Chg'!$Q$63</c:f>
              <c:strCache>
                <c:ptCount val="1"/>
                <c:pt idx="0">
                  <c:v> Median - all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'Tables in Peter''s Paper_Pct Chg'!$R$59:$V$59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'Tables in Peter''s Paper_Pct Chg'!$R$63:$V$63</c:f>
              <c:numCache>
                <c:formatCode>"$"#,##0</c:formatCode>
                <c:ptCount val="5"/>
                <c:pt idx="0">
                  <c:v>2226.212</c:v>
                </c:pt>
                <c:pt idx="1">
                  <c:v>3760.0929999999998</c:v>
                </c:pt>
                <c:pt idx="2">
                  <c:v>3824.424</c:v>
                </c:pt>
                <c:pt idx="3">
                  <c:v>3958.1669999999999</c:v>
                </c:pt>
                <c:pt idx="4">
                  <c:v>3640.0070000000001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B-4735-9477-892ECDFE4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813520"/>
        <c:axId val="605808928"/>
      </c:barChart>
      <c:lineChart>
        <c:grouping val="standard"/>
        <c:varyColors val="0"/>
        <c:ser>
          <c:idx val="0"/>
          <c:order val="0"/>
          <c:tx>
            <c:strRef>
              <c:f>'Tables in Peter''s Paper_Pct Chg'!$Q$60</c:f>
              <c:strCache>
                <c:ptCount val="1"/>
                <c:pt idx="0">
                  <c:v> Sum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'Tables in Peter''s Paper_Pct Chg'!$R$59:$V$59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'Tables in Peter''s Paper_Pct Chg'!$R$60:$V$60</c:f>
              <c:numCache>
                <c:formatCode>"$"#,##0</c:formatCode>
                <c:ptCount val="5"/>
                <c:pt idx="0">
                  <c:v>27654488.245999999</c:v>
                </c:pt>
                <c:pt idx="1">
                  <c:v>41663108.564000003</c:v>
                </c:pt>
                <c:pt idx="2">
                  <c:v>46210844.214000002</c:v>
                </c:pt>
                <c:pt idx="3">
                  <c:v>49876807.339000002</c:v>
                </c:pt>
                <c:pt idx="4">
                  <c:v>52703102.479999997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B-4735-9477-892ECDFE4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86624"/>
        <c:axId val="504177440"/>
      </c:lineChart>
      <c:catAx>
        <c:axId val="6058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08928"/>
        <c:crosses val="autoZero"/>
        <c:auto val="1"/>
        <c:lblAlgn val="ctr"/>
        <c:lblOffset val="100"/>
        <c:noMultiLvlLbl val="0"/>
      </c:catAx>
      <c:valAx>
        <c:axId val="60580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13520"/>
        <c:crosses val="autoZero"/>
        <c:crossBetween val="between"/>
      </c:valAx>
      <c:valAx>
        <c:axId val="504177440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186624"/>
        <c:crosses val="max"/>
        <c:crossBetween val="between"/>
      </c:valAx>
      <c:catAx>
        <c:axId val="5041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177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Families Exiting Due to Work Sanctions in the 2012 Cohort Had Extremely Low Median Earnings, Which Grew Meagerly by the Fourth Year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72003499562554"/>
          <c:y val="0.18097222222222226"/>
          <c:w val="0.80172440944881884"/>
          <c:h val="0.564127661125692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'Tables in Peter''s Paper_Pct Chg'!$Q$63</c:f>
              <c:strCache>
                <c:ptCount val="1"/>
                <c:pt idx="0">
                  <c:v> Median - all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'Tables in Peter''s Paper_Pct Chg'!$R$59:$V$59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'Tables in Peter''s Paper_Pct Chg'!$D$63:$H$63</c:f>
              <c:numCache>
                <c:formatCode>"$"#,##0</c:formatCode>
                <c:ptCount val="5"/>
                <c:pt idx="0">
                  <c:v>833.08870000000002</c:v>
                </c:pt>
                <c:pt idx="1">
                  <c:v>1601.2329999999999</c:v>
                </c:pt>
                <c:pt idx="2">
                  <c:v>2133.5030000000002</c:v>
                </c:pt>
                <c:pt idx="3">
                  <c:v>2402.2049999999999</c:v>
                </c:pt>
                <c:pt idx="4">
                  <c:v>2174.973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E-454A-9A41-8C6B6472F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813520"/>
        <c:axId val="605808928"/>
      </c:barChart>
      <c:lineChart>
        <c:grouping val="standard"/>
        <c:varyColors val="0"/>
        <c:ser>
          <c:idx val="0"/>
          <c:order val="0"/>
          <c:tx>
            <c:strRef>
              <c:f>'Tables in Peter''s Paper_Pct Chg'!$Q$60</c:f>
              <c:strCache>
                <c:ptCount val="1"/>
                <c:pt idx="0">
                  <c:v> Sum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'Tables in Peter''s Paper_Pct Chg'!$R$59:$V$59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'Tables in Peter''s Paper_Pct Chg'!$D$60:$H$60</c:f>
              <c:numCache>
                <c:formatCode>"$"#,##0</c:formatCode>
                <c:ptCount val="5"/>
                <c:pt idx="0">
                  <c:v>4135416.594</c:v>
                </c:pt>
                <c:pt idx="1">
                  <c:v>5729149.8960000006</c:v>
                </c:pt>
                <c:pt idx="2">
                  <c:v>7159422.5460000001</c:v>
                </c:pt>
                <c:pt idx="3">
                  <c:v>8142874.6799999997</c:v>
                </c:pt>
                <c:pt idx="4">
                  <c:v>9050302.6500000004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EE-454A-9A41-8C6B6472F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86624"/>
        <c:axId val="504177440"/>
      </c:lineChart>
      <c:catAx>
        <c:axId val="6058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08928"/>
        <c:crosses val="autoZero"/>
        <c:auto val="1"/>
        <c:lblAlgn val="ctr"/>
        <c:lblOffset val="100"/>
        <c:noMultiLvlLbl val="0"/>
      </c:catAx>
      <c:valAx>
        <c:axId val="60580892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13520"/>
        <c:crosses val="autoZero"/>
        <c:crossBetween val="between"/>
      </c:valAx>
      <c:valAx>
        <c:axId val="504177440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186624"/>
        <c:crosses val="max"/>
        <c:crossBetween val="between"/>
      </c:valAx>
      <c:catAx>
        <c:axId val="5041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177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Mean Earnings Grew Over Time Among the 2012 Cohort, But Gains Weren't Enough to Lift Families Above the Poverty Line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72003499562554"/>
          <c:y val="0.18097222222222226"/>
          <c:w val="0.80172440944881884"/>
          <c:h val="0.564127661125692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'Tables in Peter''s Paper_Pct Chg'!$Q$63</c:f>
              <c:strCache>
                <c:ptCount val="1"/>
                <c:pt idx="0">
                  <c:v> Median - all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'Tables in Peter''s Paper_Pct Chg'!$R$59:$V$59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'Tables in Peter''s Paper_Pct Chg'!$R$63:$V$63</c:f>
              <c:numCache>
                <c:formatCode>"$"#,##0</c:formatCode>
                <c:ptCount val="5"/>
                <c:pt idx="0">
                  <c:v>2226.212</c:v>
                </c:pt>
                <c:pt idx="1">
                  <c:v>3760.0929999999998</c:v>
                </c:pt>
                <c:pt idx="2">
                  <c:v>3824.424</c:v>
                </c:pt>
                <c:pt idx="3">
                  <c:v>3958.1669999999999</c:v>
                </c:pt>
                <c:pt idx="4">
                  <c:v>3640.0070000000001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2-4D80-9559-EB3E55E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813520"/>
        <c:axId val="605808928"/>
      </c:barChart>
      <c:lineChart>
        <c:grouping val="standard"/>
        <c:varyColors val="0"/>
        <c:ser>
          <c:idx val="0"/>
          <c:order val="0"/>
          <c:tx>
            <c:strRef>
              <c:f>'Tables in Peter''s Paper_Pct Chg'!$Q$60</c:f>
              <c:strCache>
                <c:ptCount val="1"/>
                <c:pt idx="0">
                  <c:v> Sum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'Tables in Peter''s Paper_Pct Chg'!$R$59:$V$59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'Tables in Peter''s Paper_Pct Chg'!$R$60:$V$60</c:f>
              <c:numCache>
                <c:formatCode>"$"#,##0</c:formatCode>
                <c:ptCount val="5"/>
                <c:pt idx="0">
                  <c:v>27654488.245999999</c:v>
                </c:pt>
                <c:pt idx="1">
                  <c:v>41663108.564000003</c:v>
                </c:pt>
                <c:pt idx="2">
                  <c:v>46210844.214000002</c:v>
                </c:pt>
                <c:pt idx="3">
                  <c:v>49876807.339000002</c:v>
                </c:pt>
                <c:pt idx="4">
                  <c:v>52703102.479999997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2-4D80-9559-EB3E55E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86624"/>
        <c:axId val="504177440"/>
      </c:lineChart>
      <c:catAx>
        <c:axId val="6058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08928"/>
        <c:crosses val="autoZero"/>
        <c:auto val="1"/>
        <c:lblAlgn val="ctr"/>
        <c:lblOffset val="100"/>
        <c:noMultiLvlLbl val="0"/>
      </c:catAx>
      <c:valAx>
        <c:axId val="60580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13520"/>
        <c:crosses val="autoZero"/>
        <c:crossBetween val="between"/>
      </c:valAx>
      <c:valAx>
        <c:axId val="504177440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186624"/>
        <c:crosses val="max"/>
        <c:crossBetween val="between"/>
      </c:valAx>
      <c:catAx>
        <c:axId val="5041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177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FGA Findings</a:t>
            </a:r>
            <a:r>
              <a:rPr lang="en-US" baseline="0"/>
              <a:t> Underestimate Baseline Earnings and Overexaggerate 4-Year Outcomes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'FGA''s Bar Chart'!$A$19</c:f>
              <c:strCache>
                <c:ptCount val="1"/>
                <c:pt idx="0">
                  <c:v>Calculation based on Earnings of 2012 Cohort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'FGA''s Bar Chart'!$B$19:$F$19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'FGA''s Bar Chart'!$B$18:$F$18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1E3-4DA6-818A-8F9E12C53B8F}"/>
            </c:ext>
          </c:extLst>
        </c:ser>
        <c:ser>
          <c:idx val="1"/>
          <c:order val="1"/>
          <c:tx>
            <c:strRef>
              <c:f>'FGA''s Bar Chart'!$A$20</c:f>
              <c:strCache>
                <c:ptCount val="1"/>
                <c:pt idx="0">
                  <c:v>FGA Numbers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'FGA''s Bar Chart'!$B$20:$F$20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'FGA''s Bar Chart'!$B$18:$F$18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1E3-4DA6-818A-8F9E12C53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811120"/>
        <c:axId val="548811776"/>
      </c:barChart>
      <c:catAx>
        <c:axId val="5488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811776"/>
        <c:crosses val="autoZero"/>
        <c:auto val="1"/>
        <c:lblAlgn val="ctr"/>
        <c:lblOffset val="100"/>
        <c:noMultiLvlLbl val="0"/>
      </c:catAx>
      <c:valAx>
        <c:axId val="5488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81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'FGA''s Bar Chart'!$A$26</c:f>
              <c:strCache>
                <c:ptCount val="1"/>
                <c:pt idx="0">
                  <c:v>Mean Earnings for 2012 Cohort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'FGA''s Bar Chart'!$B$26:$F$26</c:f>
            </c:numRef>
          </c:val>
          <c:extLst>
            <c:ext xmlns:c16="http://schemas.microsoft.com/office/drawing/2014/chart" uri="{C3380CC4-5D6E-409C-BE32-E72D297353CC}">
              <c16:uniqueId val="{00000000-E7C8-49B2-AF95-5D2BD40F93B7}"/>
            </c:ext>
          </c:extLst>
        </c:ser>
        <c:ser>
          <c:idx val="1"/>
          <c:order val="1"/>
          <c:tx>
            <c:strRef>
              <c:f>'FGA''s Bar Chart'!$A$27</c:f>
              <c:strCache>
                <c:ptCount val="1"/>
                <c:pt idx="0">
                  <c:v>FGA Mean Earnings Estimates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'FGA''s Bar Chart'!$B$27:$F$27</c:f>
            </c:numRef>
          </c:val>
          <c:extLst>
            <c:ext xmlns:c16="http://schemas.microsoft.com/office/drawing/2014/chart" uri="{C3380CC4-5D6E-409C-BE32-E72D297353CC}">
              <c16:uniqueId val="{00000001-E7C8-49B2-AF95-5D2BD40F93B7}"/>
            </c:ext>
          </c:extLst>
        </c:ser>
        <c:ser>
          <c:idx val="2"/>
          <c:order val="2"/>
          <c:tx>
            <c:strRef>
              <c:f>'FGA''s Bar Chart'!$A$28</c:f>
              <c:strCache>
                <c:ptCount val="1"/>
                <c:pt idx="0">
                  <c:v>Mean Earnings for Full Sample (6,090); years 2,3, and 4 not available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'FGA''s Bar Chart'!$B$28:$F$28</c:f>
            </c:numRef>
          </c:val>
          <c:extLst>
            <c:ext xmlns:c16="http://schemas.microsoft.com/office/drawing/2014/chart" uri="{C3380CC4-5D6E-409C-BE32-E72D297353CC}">
              <c16:uniqueId val="{00000002-E7C8-49B2-AF95-5D2BD40F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615072"/>
        <c:axId val="650620976"/>
      </c:barChart>
      <c:catAx>
        <c:axId val="650615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620976"/>
        <c:crosses val="autoZero"/>
        <c:auto val="1"/>
        <c:lblAlgn val="ctr"/>
        <c:lblOffset val="100"/>
        <c:noMultiLvlLbl val="0"/>
      </c:catAx>
      <c:valAx>
        <c:axId val="65062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6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'Tables in Peter''s Paper'!$M$2:$Q$2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'Tables in Peter''s Paper'!$M$3:$Q$3</c:f>
              <c:numCache>
                <c:formatCode>"$"#,##0</c:formatCode>
                <c:ptCount val="5"/>
                <c:pt idx="0">
                  <c:v>26170356.462000001</c:v>
                </c:pt>
                <c:pt idx="1">
                  <c:v>39918316.369999997</c:v>
                </c:pt>
                <c:pt idx="2">
                  <c:v>44934126.839999996</c:v>
                </c:pt>
                <c:pt idx="3">
                  <c:v>49197887.75</c:v>
                </c:pt>
                <c:pt idx="4">
                  <c:v>52116033.270000003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3-4E88-9168-FD56E00E0E43}"/>
            </c:ext>
          </c:extLst>
        </c:ser>
        <c:ser>
          <c:idx val="1"/>
          <c:order val="1"/>
          <c:tx>
            <c:v>wr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'Tables in Peter''s Paper'!$D$3:$H$3</c:f>
              <c:numCache>
                <c:formatCode>"$"#,##0</c:formatCode>
                <c:ptCount val="5"/>
                <c:pt idx="0">
                  <c:v>3923851</c:v>
                </c:pt>
                <c:pt idx="1">
                  <c:v>5489697</c:v>
                </c:pt>
                <c:pt idx="2">
                  <c:v>6961749</c:v>
                </c:pt>
                <c:pt idx="3">
                  <c:v>8032003</c:v>
                </c:pt>
                <c:pt idx="4">
                  <c:v>8949383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3-4E88-9168-FD56E00E0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498672"/>
        <c:axId val="567493752"/>
      </c:lineChart>
      <c:catAx>
        <c:axId val="56749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93752"/>
        <c:crosses val="autoZero"/>
        <c:auto val="1"/>
        <c:lblAlgn val="ctr"/>
        <c:lblOffset val="100"/>
        <c:noMultiLvlLbl val="0"/>
      </c:catAx>
      <c:valAx>
        <c:axId val="56749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9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'FGA''s Bar Chart'!$A$48</c:f>
              <c:strCache>
                <c:ptCount val="1"/>
                <c:pt idx="0">
                  <c:v>FGA's Extrapolated Calculation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'FGA''s Bar Chart'!$B$47:$F$47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'FGA''s Bar Chart'!$B$48:$F$48</c:f>
              <c:numCache>
                <c:formatCode>"$"#,##0</c:formatCode>
                <c:ptCount val="5"/>
                <c:pt idx="0">
                  <c:v>19500000</c:v>
                </c:pt>
                <c:pt idx="1">
                  <c:v>39800000</c:v>
                </c:pt>
                <c:pt idx="2">
                  <c:v>48000000</c:v>
                </c:pt>
                <c:pt idx="3">
                  <c:v>52200000</c:v>
                </c:pt>
                <c:pt idx="4">
                  <c:v>67600000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1-4327-BB76-A71415715779}"/>
            </c:ext>
          </c:extLst>
        </c:ser>
        <c:ser>
          <c:idx val="1"/>
          <c:order val="1"/>
          <c:tx>
            <c:strRef>
              <c:f>'FGA''s Bar Chart'!$A$49</c:f>
              <c:strCache>
                <c:ptCount val="1"/>
                <c:pt idx="0">
                  <c:v>Actual Earnings Data, Smaller 2012 Cohort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'FGA''s Bar Chart'!$B$47:$F$47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'FGA''s Bar Chart'!$B$49:$F$49</c:f>
              <c:numCache>
                <c:formatCode>"$"#,##0</c:formatCode>
                <c:ptCount val="5"/>
                <c:pt idx="0">
                  <c:v>4135416.594</c:v>
                </c:pt>
                <c:pt idx="1">
                  <c:v>5729149.8960000006</c:v>
                </c:pt>
                <c:pt idx="2">
                  <c:v>7159422.5460000001</c:v>
                </c:pt>
                <c:pt idx="3">
                  <c:v>8142874.6799999997</c:v>
                </c:pt>
                <c:pt idx="4">
                  <c:v>9050302.6500000004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A1-4327-BB76-A71415715779}"/>
            </c:ext>
          </c:extLst>
        </c:ser>
        <c:ser>
          <c:idx val="2"/>
          <c:order val="2"/>
          <c:tx>
            <c:strRef>
              <c:f>'FGA''s Bar Chart'!$A$50</c:f>
              <c:strCache>
                <c:ptCount val="1"/>
                <c:pt idx="0">
                  <c:v>Actual Earnings Data, Full 2012-2015 Cohort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'FGA''s Bar Chart'!$B$47:$F$47</c:f>
              <c:strCache>
                <c:ptCount val="5"/>
                <c:pt idx="0">
                  <c:v>Baseline (1 yr before exit qtr)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</c:v>
                </c:pt>
                <c:pt idx="4">
                  <c:v>4 Years Later</c:v>
                </c:pt>
              </c:strCache>
            </c:strRef>
          </c:cat>
          <c:val>
            <c:numRef>
              <c:f>'FGA''s Bar Chart'!$B$50:$F$50</c:f>
              <c:numCache>
                <c:formatCode>"$"#,##0</c:formatCode>
                <c:ptCount val="5"/>
                <c:pt idx="0">
                  <c:v>28059181.710000001</c:v>
                </c:pt>
                <c:pt idx="1">
                  <c:v>36707615.07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A1-4327-BB76-A71415715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5612160"/>
        <c:axId val="725613472"/>
      </c:barChart>
      <c:catAx>
        <c:axId val="7256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613472"/>
        <c:crosses val="autoZero"/>
        <c:auto val="1"/>
        <c:lblAlgn val="ctr"/>
        <c:lblOffset val="100"/>
        <c:noMultiLvlLbl val="0"/>
      </c:catAx>
      <c:valAx>
        <c:axId val="725613472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61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baseline="0">
                <a:effectLst/>
              </a:rPr>
              <a:t> </a:t>
            </a:r>
            <a:r>
              <a:rPr lang="en-US" sz="1200" b="1" i="0" u="none" strike="noStrike" baseline="0">
                <a:effectLst/>
              </a:rPr>
              <a:t>Majority of Families Exiting TANF in Kansas Worked the Same Number or Fewer Quarters in the Post-Exit Year</a:t>
            </a:r>
          </a:p>
          <a:p>
            <a:pPr>
              <a:defRPr/>
            </a:pPr>
            <a:r>
              <a:rPr lang="en-US" sz="1100" i="1" baseline="0"/>
              <a:t>The Share of Families by Change in Quarters Worked from Pre- to Post-Exit Years </a:t>
            </a:r>
            <a:endParaRPr lang="en-US" sz="1100" i="1"/>
          </a:p>
        </c:rich>
      </c:tx>
      <c:layout>
        <c:manualLayout>
          <c:xMode val="edge"/>
          <c:yMode val="edge"/>
          <c:x val="9.8734922971124364E-2"/>
          <c:y val="4.0927694406548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 Matrices-Percentile Cht'!$AA$9:$AA$11</c:f>
              <c:strCache>
                <c:ptCount val="3"/>
                <c:pt idx="0">
                  <c:v>Worked Fewer Quarters in Exit Year</c:v>
                </c:pt>
                <c:pt idx="1">
                  <c:v>Worked Equal Quarters in Exit Year</c:v>
                </c:pt>
                <c:pt idx="2">
                  <c:v>Worked More Quarters in Exit Year</c:v>
                </c:pt>
              </c:strCache>
            </c:strRef>
          </c:cat>
          <c:val>
            <c:numRef>
              <c:f>'Earning Matrices-Percentile Cht'!$AB$9:$AB$11</c:f>
              <c:numCache>
                <c:formatCode>0.0%</c:formatCode>
                <c:ptCount val="3"/>
                <c:pt idx="0">
                  <c:v>0.24972228393690291</c:v>
                </c:pt>
                <c:pt idx="1">
                  <c:v>0.38671406354143523</c:v>
                </c:pt>
                <c:pt idx="2">
                  <c:v>0.36356365252166184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0-42BD-B6FB-9E4EA449D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823872"/>
        <c:axId val="378824200"/>
      </c:barChart>
      <c:catAx>
        <c:axId val="37882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24200"/>
        <c:crosses val="autoZero"/>
        <c:auto val="1"/>
        <c:lblAlgn val="ctr"/>
        <c:lblOffset val="100"/>
        <c:noMultiLvlLbl val="0"/>
      </c:catAx>
      <c:valAx>
        <c:axId val="3788242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7882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Majority of Work-Sanctioned Parents in Kansas Worked the Same Number or Fewer Quarters in the Post-Exit Year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1" baseline="0">
                <a:effectLst/>
              </a:rPr>
              <a:t>The Share of Parents by Change in Quarters Worked from Pre- to Post-Exit Years 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 Matrices-Percentile Cht'!$AA$27:$AA$29</c:f>
              <c:strCache>
                <c:ptCount val="3"/>
                <c:pt idx="0">
                  <c:v>Worked Fewer Quarters in Exit Year</c:v>
                </c:pt>
                <c:pt idx="1">
                  <c:v>Worked Equal Quarters in Exit Year</c:v>
                </c:pt>
                <c:pt idx="2">
                  <c:v>Worked More Quarters in Exit Year</c:v>
                </c:pt>
              </c:strCache>
            </c:strRef>
          </c:cat>
          <c:val>
            <c:numRef>
              <c:f>'Earning Matrices-Percentile Cht'!$AB$27:$AB$29</c:f>
              <c:numCache>
                <c:formatCode>0.0%</c:formatCode>
                <c:ptCount val="3"/>
                <c:pt idx="0">
                  <c:v>0.27963875205254518</c:v>
                </c:pt>
                <c:pt idx="1">
                  <c:v>0.35944170771756978</c:v>
                </c:pt>
                <c:pt idx="2">
                  <c:v>0.36091954022988504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7-4A53-B5C1-EF6B53CE2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920736"/>
        <c:axId val="596289072"/>
      </c:barChart>
      <c:catAx>
        <c:axId val="5889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289072"/>
        <c:crosses val="autoZero"/>
        <c:auto val="1"/>
        <c:lblAlgn val="ctr"/>
        <c:lblOffset val="100"/>
        <c:noMultiLvlLbl val="0"/>
      </c:catAx>
      <c:valAx>
        <c:axId val="59628907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8892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Median Earnings Alone in the 2012 Cohort Failed to Lift Families Above Deep Poverty, Especially For Parents Exiting due to Work Sanctions and Time Limits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100" b="0" i="1" baseline="0">
                <a:effectLst/>
              </a:rPr>
              <a:t>Median Earnings for the 2012 Cohort, by Group and Year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 Cohort Earnings'!$K$2</c:f>
              <c:strCache>
                <c:ptCount val="1"/>
                <c:pt idx="0">
                  <c:v>Full 2012 Cohort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'2012 Cohort Earnings'!$L$1:$P$1</c:f>
              <c:strCache>
                <c:ptCount val="5"/>
                <c:pt idx="0">
                  <c:v>Pre-Exit Year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 </c:v>
                </c:pt>
                <c:pt idx="4">
                  <c:v>4 Years Later</c:v>
                </c:pt>
              </c:strCache>
            </c:strRef>
          </c:cat>
          <c:val>
            <c:numRef>
              <c:f>'2012 Cohort Earnings'!$L$2:$P$2</c:f>
              <c:numCache>
                <c:formatCode>"$"#,##0</c:formatCode>
                <c:ptCount val="5"/>
                <c:pt idx="0">
                  <c:v>2226.212</c:v>
                </c:pt>
                <c:pt idx="1">
                  <c:v>3760.0929999999998</c:v>
                </c:pt>
                <c:pt idx="2">
                  <c:v>3824.424</c:v>
                </c:pt>
                <c:pt idx="3">
                  <c:v>3958.1669999999999</c:v>
                </c:pt>
                <c:pt idx="4">
                  <c:v>3640.0070000000001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5-4BE1-ACE7-ABF588974805}"/>
            </c:ext>
          </c:extLst>
        </c:ser>
        <c:ser>
          <c:idx val="1"/>
          <c:order val="1"/>
          <c:tx>
            <c:strRef>
              <c:f>'2012 Cohort Earnings'!$K$3</c:f>
              <c:strCache>
                <c:ptCount val="1"/>
                <c:pt idx="0">
                  <c:v>Work Sanction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'2012 Cohort Earnings'!$L$1:$P$1</c:f>
              <c:strCache>
                <c:ptCount val="5"/>
                <c:pt idx="0">
                  <c:v>Pre-Exit Year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 </c:v>
                </c:pt>
                <c:pt idx="4">
                  <c:v>4 Years Later</c:v>
                </c:pt>
              </c:strCache>
            </c:strRef>
          </c:cat>
          <c:val>
            <c:numRef>
              <c:f>'2012 Cohort Earnings'!$L$3:$P$3</c:f>
              <c:numCache>
                <c:formatCode>"$"#,##0</c:formatCode>
                <c:ptCount val="5"/>
                <c:pt idx="0">
                  <c:v>833.08870000000002</c:v>
                </c:pt>
                <c:pt idx="1">
                  <c:v>1601.2329999999999</c:v>
                </c:pt>
                <c:pt idx="2">
                  <c:v>2133.5030000000002</c:v>
                </c:pt>
                <c:pt idx="3">
                  <c:v>2402.2049999999999</c:v>
                </c:pt>
                <c:pt idx="4">
                  <c:v>2174.973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5-4BE1-ACE7-ABF588974805}"/>
            </c:ext>
          </c:extLst>
        </c:ser>
        <c:ser>
          <c:idx val="2"/>
          <c:order val="2"/>
          <c:tx>
            <c:strRef>
              <c:f>'2012 Cohort Earnings'!$K$4</c:f>
              <c:strCache>
                <c:ptCount val="1"/>
                <c:pt idx="0">
                  <c:v>Time Limit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'2012 Cohort Earnings'!$L$1:$P$1</c:f>
              <c:strCache>
                <c:ptCount val="5"/>
                <c:pt idx="0">
                  <c:v>Pre-Exit Year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 </c:v>
                </c:pt>
                <c:pt idx="4">
                  <c:v>4 Years Later</c:v>
                </c:pt>
              </c:strCache>
            </c:strRef>
          </c:cat>
          <c:val>
            <c:numRef>
              <c:f>'2012 Cohort Earnings'!$L$4:$P$4</c:f>
              <c:numCache>
                <c:formatCode>"$"#,##0</c:formatCode>
                <c:ptCount val="5"/>
                <c:pt idx="0">
                  <c:v>275.28969999999998</c:v>
                </c:pt>
                <c:pt idx="1">
                  <c:v>1378.202</c:v>
                </c:pt>
                <c:pt idx="2">
                  <c:v>1429.6869999999999</c:v>
                </c:pt>
                <c:pt idx="3">
                  <c:v>2306.6039999999998</c:v>
                </c:pt>
                <c:pt idx="4">
                  <c:v>1369.548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5-4BE1-ACE7-ABF588974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0817456"/>
        <c:axId val="630817784"/>
      </c:barChart>
      <c:lineChart>
        <c:grouping val="standard"/>
        <c:varyColors val="0"/>
        <c:ser>
          <c:idx val="3"/>
          <c:order val="3"/>
          <c:tx>
            <c:strRef>
              <c:f>'2012 Cohort Earnings'!$K$5</c:f>
              <c:strCache>
                <c:ptCount val="1"/>
                <c:pt idx="0">
                  <c:v>50% FPL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'2012 Cohort Earnings'!$L$1:$P$1</c:f>
              <c:strCache>
                <c:ptCount val="5"/>
                <c:pt idx="0">
                  <c:v>Pre-Exit Year</c:v>
                </c:pt>
                <c:pt idx="1">
                  <c:v>1 Year Later</c:v>
                </c:pt>
                <c:pt idx="2">
                  <c:v>2 Years Later</c:v>
                </c:pt>
                <c:pt idx="3">
                  <c:v>3 Years Later </c:v>
                </c:pt>
                <c:pt idx="4">
                  <c:v>4 Years Later</c:v>
                </c:pt>
              </c:strCache>
            </c:strRef>
          </c:cat>
          <c:val>
            <c:numRef>
              <c:f>'2012 Cohort Earnings'!$L$5:$P$5</c:f>
              <c:numCache>
                <c:formatCode>"$"#,##0</c:formatCode>
                <c:ptCount val="5"/>
                <c:pt idx="0">
                  <c:v>10160</c:v>
                </c:pt>
                <c:pt idx="1">
                  <c:v>10160</c:v>
                </c:pt>
                <c:pt idx="2">
                  <c:v>10160</c:v>
                </c:pt>
                <c:pt idx="3">
                  <c:v>10160</c:v>
                </c:pt>
                <c:pt idx="4">
                  <c:v>10160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35-4BE1-ACE7-ABF588974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817456"/>
        <c:axId val="630817784"/>
      </c:lineChart>
      <c:catAx>
        <c:axId val="63081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817784"/>
        <c:crosses val="autoZero"/>
        <c:auto val="1"/>
        <c:lblAlgn val="ctr"/>
        <c:lblOffset val="100"/>
        <c:noMultiLvlLbl val="0"/>
      </c:catAx>
      <c:valAx>
        <c:axId val="630817784"/>
        <c:scaling>
          <c:orientation val="minMax"/>
          <c:max val="10500"/>
          <c:min val="0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817456"/>
        <c:crosses val="autoZero"/>
        <c:crossBetween val="between"/>
        <c:majorUnit val="1500"/>
        <c:min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'Earnings Charts_adjusted'!$O$3</c:f>
              <c:strCache>
                <c:ptCount val="1"/>
                <c:pt idx="0">
                  <c:v>Mean Annual Earnings Year After Exit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'Earnings Charts_adjusted'!$M$4:$M$8</c:f>
              <c:strCache>
                <c:ptCount val="5"/>
                <c:pt idx="0">
                  <c:v>All</c:v>
                </c:pt>
                <c:pt idx="1">
                  <c:v>Work Sanction</c:v>
                </c:pt>
                <c:pt idx="2">
                  <c:v>Time Limt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Charts_adjusted'!$O$4:$O$8</c:f>
              <c:numCache>
                <c:formatCode>"$"#,##0.00</c:formatCode>
                <c:ptCount val="5"/>
                <c:pt idx="0">
                  <c:v>8531.0429999999997</c:v>
                </c:pt>
                <c:pt idx="1">
                  <c:v>6027.5230000000001</c:v>
                </c:pt>
                <c:pt idx="2" formatCode="&quot;$&quot;#,##0">
                  <c:v>5372.5680000000002</c:v>
                </c:pt>
                <c:pt idx="3" formatCode="&quot;$&quot;#,##0">
                  <c:v>14009.08</c:v>
                </c:pt>
                <c:pt idx="4" formatCode="&quot;$&quot;#,##0">
                  <c:v>10434.129999999999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1-486C-88C7-F85DC609C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009240"/>
        <c:axId val="551009568"/>
      </c:barChart>
      <c:catAx>
        <c:axId val="55100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009568"/>
        <c:crosses val="autoZero"/>
        <c:auto val="1"/>
        <c:lblAlgn val="ctr"/>
        <c:lblOffset val="100"/>
        <c:noMultiLvlLbl val="0"/>
      </c:catAx>
      <c:valAx>
        <c:axId val="551009568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55100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Average Earnings Were Inadequate to Meet Basic Needs for All Sub-Groups  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100" b="0" i="1" baseline="0">
                <a:effectLst/>
              </a:rPr>
              <a:t>Average Annual Earnings as a Share of the Federal Poverty Line, in the Post-Exit Year</a:t>
            </a:r>
            <a:endParaRPr lang="en-US" sz="110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'Earnings Charts_adjusted'!$S$3</c:f>
              <c:strCache>
                <c:ptCount val="1"/>
                <c:pt idx="0">
                  <c:v>%FPL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'Earnings Charts_adjusted'!$M$4:$M$8</c:f>
              <c:strCache>
                <c:ptCount val="5"/>
                <c:pt idx="0">
                  <c:v>All</c:v>
                </c:pt>
                <c:pt idx="1">
                  <c:v>Work Sanction</c:v>
                </c:pt>
                <c:pt idx="2">
                  <c:v>Time Limt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Charts_adjusted'!$S$4:$S$8</c:f>
              <c:numCache>
                <c:formatCode>0.0%</c:formatCode>
                <c:ptCount val="5"/>
                <c:pt idx="0">
                  <c:v>0.42316681547619045</c:v>
                </c:pt>
                <c:pt idx="1">
                  <c:v>0.29898427579365078</c:v>
                </c:pt>
                <c:pt idx="2">
                  <c:v>0.26649642857142858</c:v>
                </c:pt>
                <c:pt idx="3">
                  <c:v>0.69489484126984125</c:v>
                </c:pt>
                <c:pt idx="4">
                  <c:v>0.51756597222222223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1-493B-9A60-41D3F970D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859552"/>
        <c:axId val="545860864"/>
      </c:barChart>
      <c:catAx>
        <c:axId val="54585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860864"/>
        <c:crosses val="autoZero"/>
        <c:auto val="1"/>
        <c:lblAlgn val="ctr"/>
        <c:lblOffset val="100"/>
        <c:noMultiLvlLbl val="0"/>
      </c:catAx>
      <c:valAx>
        <c:axId val="5458608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4585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While All Sub-Groups Experienced an Earnings Gain Over the Comparison Period, Work-Sanctioned Famlies Saw the Lowest Gains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1" baseline="0">
                <a:effectLst/>
              </a:rPr>
              <a:t>Change in Mean Earnings from Year Pre-Exit to Year Post-Exit, by Group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84527518172378E-2"/>
          <c:y val="0.33671296296296294"/>
          <c:w val="0.9543094496365524"/>
          <c:h val="0.44998432487605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'Earnings Charts_adjusted'!$D$65</c:f>
              <c:strCache>
                <c:ptCount val="1"/>
                <c:pt idx="0">
                  <c:v>Percent Change for All Families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'Earnings Charts_adjusted'!$C$66:$C$70</c:f>
              <c:strCache>
                <c:ptCount val="5"/>
                <c:pt idx="0">
                  <c:v>All</c:v>
                </c:pt>
                <c:pt idx="1">
                  <c:v>Work Sanction</c:v>
                </c:pt>
                <c:pt idx="2">
                  <c:v>Time Limit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Charts_adjusted'!$D$66:$D$70</c:f>
              <c:numCache>
                <c:formatCode>0.0%</c:formatCode>
                <c:ptCount val="5"/>
                <c:pt idx="0">
                  <c:v>0.47572691422750302</c:v>
                </c:pt>
                <c:pt idx="1">
                  <c:v>0.30822115375224185</c:v>
                </c:pt>
                <c:pt idx="2">
                  <c:v>0.66298107057791156</c:v>
                </c:pt>
                <c:pt idx="3">
                  <c:v>0.44594305314463217</c:v>
                </c:pt>
                <c:pt idx="4">
                  <c:v>0.39186427184688766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D-4BB4-97E3-BE47ABDC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313928"/>
        <c:axId val="402314256"/>
      </c:barChart>
      <c:catAx>
        <c:axId val="40231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314256"/>
        <c:crosses val="autoZero"/>
        <c:auto val="1"/>
        <c:lblAlgn val="ctr"/>
        <c:lblOffset val="100"/>
        <c:noMultiLvlLbl val="0"/>
      </c:catAx>
      <c:valAx>
        <c:axId val="40231425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0231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'Earnings Charts_adjusted'!$D$72</c:f>
              <c:strCache>
                <c:ptCount val="1"/>
                <c:pt idx="0">
                  <c:v>Change for All Families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'Earnings Charts_adjusted'!$C$73:$C$77</c:f>
              <c:strCache>
                <c:ptCount val="5"/>
                <c:pt idx="0">
                  <c:v>All</c:v>
                </c:pt>
                <c:pt idx="1">
                  <c:v>Time Limit</c:v>
                </c:pt>
                <c:pt idx="2">
                  <c:v>Work sanction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Charts_adjusted'!$D$73:$D$77</c:f>
              <c:numCache>
                <c:formatCode>"$"#,##0</c:formatCode>
                <c:ptCount val="5"/>
                <c:pt idx="0">
                  <c:v>2750.134</c:v>
                </c:pt>
                <c:pt idx="1">
                  <c:v>2141.8830000000003</c:v>
                </c:pt>
                <c:pt idx="2">
                  <c:v>0</c:v>
                </c:pt>
                <c:pt idx="3">
                  <c:v>4320.5380000000005</c:v>
                </c:pt>
                <c:pt idx="4">
                  <c:v>2937.6159999999991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D-4E4A-AC9D-4F2D85B4212F}"/>
            </c:ext>
          </c:extLst>
        </c:ser>
        <c:ser>
          <c:idx val="1"/>
          <c:order val="1"/>
          <c:tx>
            <c:strRef>
              <c:f>'Earnings Charts_adjusted'!$E$72</c:f>
              <c:strCache>
                <c:ptCount val="1"/>
                <c:pt idx="0">
                  <c:v>Change for Families with Earnings Only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'Earnings Charts_adjusted'!$C$73:$C$77</c:f>
              <c:strCache>
                <c:ptCount val="5"/>
                <c:pt idx="0">
                  <c:v>All</c:v>
                </c:pt>
                <c:pt idx="1">
                  <c:v>Time Limit</c:v>
                </c:pt>
                <c:pt idx="2">
                  <c:v>Work sanction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Charts_adjusted'!$E$73:$E$77</c:f>
              <c:numCache>
                <c:formatCode>"$"#,##0</c:formatCode>
                <c:ptCount val="5"/>
                <c:pt idx="0">
                  <c:v>3974.5</c:v>
                </c:pt>
                <c:pt idx="1">
                  <c:v>2684.2060000000001</c:v>
                </c:pt>
                <c:pt idx="2">
                  <c:v>0</c:v>
                </c:pt>
                <c:pt idx="3">
                  <c:v>5577.9000000000015</c:v>
                </c:pt>
                <c:pt idx="4">
                  <c:v>4670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D-4E4A-AC9D-4F2D85B42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1612296"/>
        <c:axId val="751625416"/>
      </c:barChart>
      <c:catAx>
        <c:axId val="75161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625416"/>
        <c:crosses val="autoZero"/>
        <c:auto val="1"/>
        <c:lblAlgn val="ctr"/>
        <c:lblOffset val="100"/>
        <c:noMultiLvlLbl val="0"/>
      </c:catAx>
      <c:valAx>
        <c:axId val="751625416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75161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Escaping Deep Poverty Was Hard to Come By for Nearly Two-Thirds of Families Exiting TANF in Kansas 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1" baseline="0">
                <a:effectLst/>
              </a:rPr>
              <a:t>Share of Families with Earnings at or Above 50 percent of the Federal Poverty Line, by Year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'Earnings Charts_adjusted'!$B$29</c:f>
              <c:strCache>
                <c:ptCount val="1"/>
                <c:pt idx="0">
                  <c:v>Year Before Exit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66666666666673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E8-474C-B7E8-65C9B6445F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'Earnings Charts_adjusted'!$A$30:$A$34</c:f>
              <c:strCache>
                <c:ptCount val="5"/>
                <c:pt idx="0">
                  <c:v>All</c:v>
                </c:pt>
                <c:pt idx="1">
                  <c:v>Work Sanction</c:v>
                </c:pt>
                <c:pt idx="2">
                  <c:v>Time Limit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Charts_adjusted'!$B$30:$B$34</c:f>
              <c:numCache>
                <c:formatCode>0.0%</c:formatCode>
                <c:ptCount val="5"/>
                <c:pt idx="0">
                  <c:v>0.21640000000000001</c:v>
                </c:pt>
                <c:pt idx="1">
                  <c:v>0.16400000000000001</c:v>
                </c:pt>
                <c:pt idx="2">
                  <c:v>8.4099999999999994E-2</c:v>
                </c:pt>
                <c:pt idx="3">
                  <c:v>0.40679999999999999</c:v>
                </c:pt>
                <c:pt idx="4">
                  <c:v>0.18340000000000001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8-474C-B7E8-65C9B6445F28}"/>
            </c:ext>
          </c:extLst>
        </c:ser>
        <c:ser>
          <c:idx val="1"/>
          <c:order val="1"/>
          <c:tx>
            <c:strRef>
              <c:f>'Earnings Charts_adjusted'!$C$29</c:f>
              <c:strCache>
                <c:ptCount val="1"/>
                <c:pt idx="0">
                  <c:v>Year After 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'Earnings Charts_adjusted'!$A$30:$A$34</c:f>
              <c:strCache>
                <c:ptCount val="5"/>
                <c:pt idx="0">
                  <c:v>All</c:v>
                </c:pt>
                <c:pt idx="1">
                  <c:v>Work Sanction</c:v>
                </c:pt>
                <c:pt idx="2">
                  <c:v>Time Limit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Charts_adjusted'!$C$30:$C$34</c:f>
              <c:numCache>
                <c:formatCode>0.0%</c:formatCode>
                <c:ptCount val="5"/>
                <c:pt idx="0">
                  <c:v>0.34749999999999998</c:v>
                </c:pt>
                <c:pt idx="1">
                  <c:v>0.23880000000000001</c:v>
                </c:pt>
                <c:pt idx="2">
                  <c:v>0.19320000000000001</c:v>
                </c:pt>
                <c:pt idx="3">
                  <c:v>0.58020000000000005</c:v>
                </c:pt>
                <c:pt idx="4">
                  <c:v>0.33400000000000002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8-474C-B7E8-65C9B6445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3441672"/>
        <c:axId val="653443312"/>
      </c:barChart>
      <c:catAx>
        <c:axId val="65344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443312"/>
        <c:crosses val="autoZero"/>
        <c:auto val="1"/>
        <c:lblAlgn val="ctr"/>
        <c:lblOffset val="100"/>
        <c:noMultiLvlLbl val="0"/>
      </c:catAx>
      <c:valAx>
        <c:axId val="65344331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5344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While All Sub-Groups Experienced an Earnings Gain Over the Comparison Period, Work-Sanctioned Famlies Saw the Lowest Gains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100" b="0" i="1" baseline="0">
                <a:effectLst/>
              </a:rPr>
              <a:t>Change in Mean Earnings from Year Pre-Exit to Year Post-Exit, by Group and Earning Status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'Earnings Charts_adjusted'!$M$4:$M$8</c:f>
              <c:strCache>
                <c:ptCount val="5"/>
                <c:pt idx="0">
                  <c:v>All</c:v>
                </c:pt>
                <c:pt idx="1">
                  <c:v>Work Sanction</c:v>
                </c:pt>
                <c:pt idx="2">
                  <c:v>Time Limt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Charts_adjusted'!$P$4:$P$8</c:f>
              <c:numCache>
                <c:formatCode>0.0%</c:formatCode>
                <c:ptCount val="5"/>
                <c:pt idx="0">
                  <c:v>0.47572691422750302</c:v>
                </c:pt>
                <c:pt idx="1">
                  <c:v>0.30822115375224185</c:v>
                </c:pt>
                <c:pt idx="2">
                  <c:v>0.66298107057791156</c:v>
                </c:pt>
                <c:pt idx="3">
                  <c:v>0.44594305314463217</c:v>
                </c:pt>
                <c:pt idx="4">
                  <c:v>0.39186427184688766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7-4343-8211-6511A8472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726520"/>
        <c:axId val="544727832"/>
      </c:barChart>
      <c:catAx>
        <c:axId val="54472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27832"/>
        <c:crosses val="autoZero"/>
        <c:auto val="1"/>
        <c:lblAlgn val="ctr"/>
        <c:lblOffset val="100"/>
        <c:noMultiLvlLbl val="0"/>
      </c:catAx>
      <c:valAx>
        <c:axId val="54472783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4472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While All Sub-Groups Experienced an Earnings Gain Over the Comparison Period, Work-Sanctioned Famlies Saw the Lowest Gains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1" baseline="0">
                <a:effectLst/>
              </a:rPr>
              <a:t>Mean Earnings by Group and Year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'Earnings Charts_adjusted'!$D$57</c:f>
              <c:strCache>
                <c:ptCount val="1"/>
                <c:pt idx="0">
                  <c:v>Before Exit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'Earnings Charts_adjusted'!$C$58:$C$62</c:f>
              <c:strCache>
                <c:ptCount val="5"/>
                <c:pt idx="0">
                  <c:v>All</c:v>
                </c:pt>
                <c:pt idx="1">
                  <c:v>Work Sanction</c:v>
                </c:pt>
                <c:pt idx="2">
                  <c:v>Time Limit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Charts_adjusted'!$D$58:$D$62</c:f>
              <c:numCache>
                <c:formatCode>"$"#,##0</c:formatCode>
                <c:ptCount val="5"/>
                <c:pt idx="0">
                  <c:v>8124</c:v>
                </c:pt>
                <c:pt idx="1">
                  <c:v>6886</c:v>
                </c:pt>
                <c:pt idx="2">
                  <c:v>5554</c:v>
                </c:pt>
                <c:pt idx="3">
                  <c:v>11349</c:v>
                </c:pt>
                <c:pt idx="4">
                  <c:v>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6-4B91-977B-F1EEDDAFC82B}"/>
            </c:ext>
          </c:extLst>
        </c:ser>
        <c:ser>
          <c:idx val="1"/>
          <c:order val="1"/>
          <c:tx>
            <c:strRef>
              <c:f>'Earnings Charts_adjusted'!$E$57</c:f>
              <c:strCache>
                <c:ptCount val="1"/>
                <c:pt idx="0">
                  <c:v>After 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'Earnings Charts_adjusted'!$C$58:$C$62</c:f>
              <c:strCache>
                <c:ptCount val="5"/>
                <c:pt idx="0">
                  <c:v>All</c:v>
                </c:pt>
                <c:pt idx="1">
                  <c:v>Work Sanction</c:v>
                </c:pt>
                <c:pt idx="2">
                  <c:v>Time Limit</c:v>
                </c:pt>
                <c:pt idx="3">
                  <c:v>Excess Income</c:v>
                </c:pt>
                <c:pt idx="4">
                  <c:v>Other Reasons</c:v>
                </c:pt>
              </c:strCache>
            </c:strRef>
          </c:cat>
          <c:val>
            <c:numRef>
              <c:f>'Earnings Charts_adjusted'!$E$58:$E$62</c:f>
              <c:numCache>
                <c:formatCode>"$"#,##0</c:formatCode>
                <c:ptCount val="5"/>
                <c:pt idx="0">
                  <c:v>12098.5</c:v>
                </c:pt>
                <c:pt idx="1">
                  <c:v>8840.9480000000003</c:v>
                </c:pt>
                <c:pt idx="2">
                  <c:v>8238.2060000000001</c:v>
                </c:pt>
                <c:pt idx="3">
                  <c:v>16926.900000000001</c:v>
                </c:pt>
                <c:pt idx="4">
                  <c:v>12046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6-4B91-977B-F1EEDDAF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0242632"/>
        <c:axId val="550242304"/>
      </c:barChart>
      <c:catAx>
        <c:axId val="550242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42304"/>
        <c:crosses val="autoZero"/>
        <c:auto val="1"/>
        <c:lblAlgn val="ctr"/>
        <c:lblOffset val="100"/>
        <c:noMultiLvlLbl val="0"/>
      </c:catAx>
      <c:valAx>
        <c:axId val="550242304"/>
        <c:scaling>
          <c:orientation val="minMax"/>
        </c:scaling>
        <c:delete val="0"/>
        <c:axPos val="b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4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7</xdr:row>
      <xdr:rowOff>125730</xdr:rowOff>
    </xdr:from>
    <xdr:to>
      <xdr:col>17</xdr:col>
      <xdr:colOff>281940</xdr:colOff>
      <xdr:row>25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18F22C-4381-493F-B1EE-26D10A3C35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114300</xdr:rowOff>
    </xdr:from>
    <xdr:to>
      <xdr:col>6</xdr:col>
      <xdr:colOff>590550</xdr:colOff>
      <xdr:row>46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C50E86-373D-4690-A4AC-F43AD86D97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569595</xdr:colOff>
      <xdr:row>25</xdr:row>
      <xdr:rowOff>116205</xdr:rowOff>
    </xdr:from>
    <xdr:to>
      <xdr:col>19</xdr:col>
      <xdr:colOff>982980</xdr:colOff>
      <xdr:row>39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9C6100-CD96-4C33-B7A6-E99A1D13D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629195</xdr:colOff>
      <xdr:row>10</xdr:row>
      <xdr:rowOff>102326</xdr:rowOff>
    </xdr:from>
    <xdr:to>
      <xdr:col>21</xdr:col>
      <xdr:colOff>73207</xdr:colOff>
      <xdr:row>24</xdr:row>
      <xdr:rowOff>62049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2A027B-ACB2-469E-8642-EABD1E547F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69396</xdr:colOff>
      <xdr:row>43</xdr:row>
      <xdr:rowOff>91849</xdr:rowOff>
    </xdr:from>
    <xdr:to>
      <xdr:col>14</xdr:col>
      <xdr:colOff>1068160</xdr:colOff>
      <xdr:row>58</xdr:row>
      <xdr:rowOff>71439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4E852E-C2BD-4168-9802-73A528BDCD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19049</xdr:colOff>
      <xdr:row>71</xdr:row>
      <xdr:rowOff>176213</xdr:rowOff>
    </xdr:from>
    <xdr:to>
      <xdr:col>14</xdr:col>
      <xdr:colOff>1819274</xdr:colOff>
      <xdr:row>87</xdr:row>
      <xdr:rowOff>23813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C9F41F9-E5E7-44F0-B583-0CA411103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68717</xdr:rowOff>
    </xdr:from>
    <xdr:to>
      <xdr:col>5</xdr:col>
      <xdr:colOff>466725</xdr:colOff>
      <xdr:row>39</xdr:row>
      <xdr:rowOff>187779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8FEAF14-087B-4805-9E17-2EF6CE612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398689</xdr:colOff>
      <xdr:row>26</xdr:row>
      <xdr:rowOff>12926</xdr:rowOff>
    </xdr:from>
    <xdr:to>
      <xdr:col>12</xdr:col>
      <xdr:colOff>1738993</xdr:colOff>
      <xdr:row>41</xdr:row>
      <xdr:rowOff>15648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6C83EC-7A20-4C98-84B1-C1931F21B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1338942</xdr:colOff>
      <xdr:row>40</xdr:row>
      <xdr:rowOff>146957</xdr:rowOff>
    </xdr:from>
    <xdr:to>
      <xdr:col>23</xdr:col>
      <xdr:colOff>130629</xdr:colOff>
      <xdr:row>58</xdr:row>
      <xdr:rowOff>43543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E2D7601-4146-4D60-BEEC-568E30622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630766</xdr:colOff>
      <xdr:row>124</xdr:row>
      <xdr:rowOff>25399</xdr:rowOff>
    </xdr:from>
    <xdr:to>
      <xdr:col>16</xdr:col>
      <xdr:colOff>1490132</xdr:colOff>
      <xdr:row>138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9BE797-DF79-49FF-8E6D-8C51AF841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440267</xdr:colOff>
      <xdr:row>159</xdr:row>
      <xdr:rowOff>131232</xdr:rowOff>
    </xdr:from>
    <xdr:to>
      <xdr:col>6</xdr:col>
      <xdr:colOff>855133</xdr:colOff>
      <xdr:row>176</xdr:row>
      <xdr:rowOff>59266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0BBFDDD-47BB-4ADD-A9DD-903475EBA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1162958</xdr:colOff>
      <xdr:row>105</xdr:row>
      <xdr:rowOff>188686</xdr:rowOff>
    </xdr:from>
    <xdr:to>
      <xdr:col>27</xdr:col>
      <xdr:colOff>1097643</xdr:colOff>
      <xdr:row>121</xdr:row>
      <xdr:rowOff>90715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9367FE-1C9D-4369-840E-65D298A028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821266</xdr:colOff>
      <xdr:row>28</xdr:row>
      <xdr:rowOff>359833</xdr:rowOff>
    </xdr:from>
    <xdr:to>
      <xdr:col>29</xdr:col>
      <xdr:colOff>1026584</xdr:colOff>
      <xdr:row>45</xdr:row>
      <xdr:rowOff>74083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C42E65C-420F-463C-9E7D-5463175FE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300082</xdr:colOff>
      <xdr:row>102</xdr:row>
      <xdr:rowOff>37012</xdr:rowOff>
    </xdr:from>
    <xdr:to>
      <xdr:col>32</xdr:col>
      <xdr:colOff>1027611</xdr:colOff>
      <xdr:row>117</xdr:row>
      <xdr:rowOff>204652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D438A4-C2D1-48F8-B71A-4DB3968391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373019</xdr:colOff>
      <xdr:row>70</xdr:row>
      <xdr:rowOff>82730</xdr:rowOff>
    </xdr:from>
    <xdr:to>
      <xdr:col>23</xdr:col>
      <xdr:colOff>497840</xdr:colOff>
      <xdr:row>91</xdr:row>
      <xdr:rowOff>66401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EFBA3F0-15D2-4794-BB42-50A251135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459650</xdr:colOff>
      <xdr:row>27</xdr:row>
      <xdr:rowOff>193221</xdr:rowOff>
    </xdr:from>
    <xdr:to>
      <xdr:col>12</xdr:col>
      <xdr:colOff>247922</xdr:colOff>
      <xdr:row>50</xdr:row>
      <xdr:rowOff>120558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56FD817-BC67-4638-A7AA-FCD6491A9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72</xdr:row>
      <xdr:rowOff>0</xdr:rowOff>
    </xdr:from>
    <xdr:to>
      <xdr:col>16</xdr:col>
      <xdr:colOff>1077321</xdr:colOff>
      <xdr:row>91</xdr:row>
      <xdr:rowOff>351971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B10BFA-3149-43A3-878B-46C03CD76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0</xdr:row>
      <xdr:rowOff>678180</xdr:rowOff>
    </xdr:from>
    <xdr:to>
      <xdr:col>13</xdr:col>
      <xdr:colOff>541020</xdr:colOff>
      <xdr:row>14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B0C102-E051-4DC8-954A-E6FF16302A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251460</xdr:colOff>
      <xdr:row>15</xdr:row>
      <xdr:rowOff>15240</xdr:rowOff>
    </xdr:from>
    <xdr:to>
      <xdr:col>14</xdr:col>
      <xdr:colOff>556260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C03583-1981-40E7-9AEF-8A406B843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312420</xdr:colOff>
      <xdr:row>43</xdr:row>
      <xdr:rowOff>87630</xdr:rowOff>
    </xdr:from>
    <xdr:to>
      <xdr:col>15</xdr:col>
      <xdr:colOff>7620</xdr:colOff>
      <xdr:row>57</xdr:row>
      <xdr:rowOff>87630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D083969-EA40-4532-B8FF-CEA219C44E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231322</xdr:colOff>
      <xdr:row>19</xdr:row>
      <xdr:rowOff>233226</xdr:rowOff>
    </xdr:from>
    <xdr:to>
      <xdr:col>19</xdr:col>
      <xdr:colOff>546464</xdr:colOff>
      <xdr:row>33</xdr:row>
      <xdr:rowOff>39461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642042-5CC1-48CB-9A14-E211C37534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10886</xdr:colOff>
      <xdr:row>18</xdr:row>
      <xdr:rowOff>337457</xdr:rowOff>
    </xdr:from>
    <xdr:to>
      <xdr:col>13</xdr:col>
      <xdr:colOff>544285</xdr:colOff>
      <xdr:row>35</xdr:row>
      <xdr:rowOff>119742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01857A-C85A-4D90-9028-1FACCEE057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365760</xdr:colOff>
      <xdr:row>8</xdr:row>
      <xdr:rowOff>3810</xdr:rowOff>
    </xdr:from>
    <xdr:to>
      <xdr:col>16</xdr:col>
      <xdr:colOff>487680</xdr:colOff>
      <xdr:row>25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232537-F7AB-4410-9AF1-26852FD23E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aspe.hhs.gov/computations-2016-poverty-guidelines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https://aspe.hhs.gov/computations-2016-poverty-guidelines" TargetMode="External"/><Relationship Id="rId1" Type="http://schemas.openxmlformats.org/officeDocument/2006/relationships/hyperlink" Target="https://aspe.hhs.gov/computations-2016-poverty-guidelines" TargetMode="External"/><Relationship Id="rId6" Type="http://schemas.openxmlformats.org/officeDocument/2006/relationships/hyperlink" Target="https://aspe.hhs.gov/computations-2016-poverty-guidelines" TargetMode="External"/><Relationship Id="rId5" Type="http://schemas.openxmlformats.org/officeDocument/2006/relationships/hyperlink" Target="https://aspe.hhs.gov/computations-2016-poverty-guidelines" TargetMode="External"/><Relationship Id="rId4" Type="http://schemas.openxmlformats.org/officeDocument/2006/relationships/hyperlink" Target="https://aspe.hhs.gov/computations-2016-poverty-guidelin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"/>
  <sheetViews>
    <sheetView workbookViewId="0">
      <selection activeCell="D3" sqref="D3"/>
    </sheetView>
  </sheetViews>
  <sheetFormatPr defaultRowHeight="15"/>
  <sheetData>
    <row r="2" spans="1:1">
      <c r="A2" t="s">
        <v>0</v>
      </c>
    </row>
  </sheetData>
  <phoneticPr fontId="3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D81"/>
  <sheetViews>
    <sheetView zoomScale="70" zoomScaleNormal="70" workbookViewId="0">
      <selection activeCell="C11" sqref="C11"/>
    </sheetView>
  </sheetViews>
  <sheetFormatPr defaultRowHeight="15"/>
  <cols>
    <col min="1" max="1" width="22.7109375" customWidth="1"/>
    <col min="2" max="4" width="14.7109375" customWidth="1"/>
    <col min="5" max="5" width="13.7109375" customWidth="1"/>
    <col min="7" max="7" width="28" customWidth="1"/>
    <col min="8" max="8" width="13.28515625" customWidth="1"/>
    <col min="9" max="9" width="12.42578125" customWidth="1"/>
    <col min="10" max="10" width="12.5703125" customWidth="1"/>
    <col min="11" max="11" width="14.140625" customWidth="1"/>
    <col min="12" max="12" width="13.5703125" customWidth="1"/>
    <col min="15" max="15" width="19.140625" customWidth="1"/>
    <col min="16" max="16" width="12" bestFit="1" customWidth="1"/>
    <col min="25" max="25" width="10.140625" customWidth="1"/>
    <col min="28" max="28" width="10" bestFit="1" customWidth="1"/>
  </cols>
  <sheetData>
    <row r="1" spans="1:30" ht="27.4" customHeight="1">
      <c r="A1" s="671" t="s">
        <v>254</v>
      </c>
      <c r="B1" s="672"/>
      <c r="C1" s="672"/>
      <c r="D1" s="672"/>
      <c r="E1" s="673"/>
      <c r="G1" s="657" t="s">
        <v>254</v>
      </c>
      <c r="H1" s="658"/>
      <c r="I1" s="658"/>
      <c r="J1" s="658"/>
      <c r="K1" s="658"/>
      <c r="L1" s="658"/>
      <c r="M1" s="659"/>
      <c r="O1" s="667" t="s">
        <v>255</v>
      </c>
      <c r="P1" s="668"/>
      <c r="Q1" s="668"/>
      <c r="R1" s="668"/>
      <c r="S1" s="668"/>
      <c r="T1" s="668"/>
      <c r="U1" s="669"/>
      <c r="V1" s="551"/>
    </row>
    <row r="2" spans="1:30" ht="45">
      <c r="A2" s="529" t="s">
        <v>256</v>
      </c>
      <c r="B2" s="397" t="s">
        <v>257</v>
      </c>
      <c r="C2" s="397" t="s">
        <v>258</v>
      </c>
      <c r="D2" s="397" t="s">
        <v>259</v>
      </c>
      <c r="E2" s="398" t="s">
        <v>258</v>
      </c>
      <c r="G2" s="3"/>
      <c r="H2" s="656" t="s">
        <v>260</v>
      </c>
      <c r="I2" s="656"/>
      <c r="J2" s="656"/>
      <c r="K2" s="656"/>
      <c r="L2" s="656"/>
      <c r="M2" s="191"/>
      <c r="O2" s="385"/>
      <c r="P2" s="670" t="s">
        <v>261</v>
      </c>
      <c r="Q2" s="670"/>
      <c r="R2" s="670"/>
      <c r="S2" s="670"/>
      <c r="T2" s="670"/>
      <c r="U2" s="386"/>
      <c r="V2" s="388"/>
    </row>
    <row r="3" spans="1:30" ht="33" customHeight="1">
      <c r="A3" s="399" t="s">
        <v>262</v>
      </c>
      <c r="B3" s="532">
        <v>638.19989999999996</v>
      </c>
      <c r="C3" s="338">
        <f>B3/FPL!$H$6</f>
        <v>3.1656741071428567E-2</v>
      </c>
      <c r="D3" s="532">
        <v>5182.0919999999996</v>
      </c>
      <c r="E3" s="401">
        <f>D3/FPL!$H$6</f>
        <v>0.25704821428571428</v>
      </c>
      <c r="G3" s="3"/>
      <c r="H3" s="83" t="s">
        <v>262</v>
      </c>
      <c r="I3" s="83" t="s">
        <v>263</v>
      </c>
      <c r="J3" s="83" t="s">
        <v>264</v>
      </c>
      <c r="K3" s="83" t="s">
        <v>265</v>
      </c>
      <c r="L3" s="83" t="s">
        <v>266</v>
      </c>
      <c r="M3" s="191" t="s">
        <v>267</v>
      </c>
      <c r="O3" s="387" t="s">
        <v>268</v>
      </c>
      <c r="P3" s="388">
        <v>0</v>
      </c>
      <c r="Q3" s="388">
        <v>1</v>
      </c>
      <c r="R3" s="388">
        <v>2</v>
      </c>
      <c r="S3" s="388">
        <v>3</v>
      </c>
      <c r="T3" s="388">
        <v>4</v>
      </c>
      <c r="U3" s="386" t="s">
        <v>267</v>
      </c>
      <c r="V3" s="176">
        <f>T5+S5</f>
        <v>1446</v>
      </c>
      <c r="W3" s="473">
        <f>V3/U5</f>
        <v>0.22280431432973805</v>
      </c>
      <c r="AB3" s="176"/>
    </row>
    <row r="4" spans="1:30">
      <c r="A4" s="399" t="s">
        <v>263</v>
      </c>
      <c r="B4" s="532">
        <v>2729.855</v>
      </c>
      <c r="C4" s="338">
        <f>B4/FPL!$H$6</f>
        <v>0.13540947420634922</v>
      </c>
      <c r="D4" s="532">
        <v>7355.0050000000001</v>
      </c>
      <c r="E4" s="401">
        <f>D4/FPL!$H$6</f>
        <v>0.36483159722222225</v>
      </c>
      <c r="G4" s="3" t="s">
        <v>269</v>
      </c>
      <c r="H4" s="83"/>
      <c r="I4" s="83"/>
      <c r="J4" s="83"/>
      <c r="K4" s="83"/>
      <c r="L4" s="83"/>
      <c r="M4" s="191"/>
      <c r="O4" s="385"/>
      <c r="P4" s="388"/>
      <c r="Q4" s="388"/>
      <c r="R4" s="388"/>
      <c r="S4" s="388"/>
      <c r="T4" s="388"/>
      <c r="U4" s="386"/>
      <c r="V4" s="388"/>
      <c r="AA4" t="s">
        <v>270</v>
      </c>
      <c r="AB4">
        <f>P7+P9+Q9+P11+Q11+R11+S13+R13+Q13+P13</f>
        <v>5620</v>
      </c>
      <c r="AC4" s="473">
        <f>AB4/22505</f>
        <v>0.24972228393690291</v>
      </c>
    </row>
    <row r="5" spans="1:30">
      <c r="A5" s="399" t="s">
        <v>264</v>
      </c>
      <c r="B5" s="532">
        <v>5775.0829999999996</v>
      </c>
      <c r="C5" s="338">
        <f>B5/FPL!$H$6</f>
        <v>0.28646245039682539</v>
      </c>
      <c r="D5" s="532">
        <v>9543.732</v>
      </c>
      <c r="E5" s="401">
        <f>D5/FPL!$H$6</f>
        <v>0.47339940476190479</v>
      </c>
      <c r="G5" s="666" t="s">
        <v>262</v>
      </c>
      <c r="H5" s="189">
        <v>1166</v>
      </c>
      <c r="I5" s="83">
        <v>898</v>
      </c>
      <c r="J5" s="83">
        <v>562</v>
      </c>
      <c r="K5" s="83">
        <v>387</v>
      </c>
      <c r="L5" s="83">
        <v>190</v>
      </c>
      <c r="M5" s="190">
        <v>3203</v>
      </c>
      <c r="O5" s="385">
        <v>0</v>
      </c>
      <c r="P5" s="389">
        <v>3694</v>
      </c>
      <c r="Q5" s="388">
        <v>701</v>
      </c>
      <c r="R5" s="388">
        <v>649</v>
      </c>
      <c r="S5" s="388">
        <v>520</v>
      </c>
      <c r="T5" s="388">
        <v>926</v>
      </c>
      <c r="U5" s="390">
        <v>6490</v>
      </c>
      <c r="V5" s="406">
        <f>U5/22505</f>
        <v>0.28838035992001776</v>
      </c>
      <c r="W5" s="176">
        <f>U5-P15</f>
        <v>-146</v>
      </c>
      <c r="X5">
        <f>W5*-1</f>
        <v>146</v>
      </c>
      <c r="Y5" s="469">
        <f>100%-P6</f>
        <v>0.43081664098613248</v>
      </c>
      <c r="AA5" t="s">
        <v>271</v>
      </c>
      <c r="AB5" s="176">
        <f>P5+Q7+R9+S11+T13</f>
        <v>8703</v>
      </c>
      <c r="AC5" s="473">
        <f t="shared" ref="AC5:AC6" si="0">AB5/22505</f>
        <v>0.38671406354143523</v>
      </c>
    </row>
    <row r="6" spans="1:30">
      <c r="A6" s="399" t="s">
        <v>265</v>
      </c>
      <c r="B6" s="532">
        <v>10184.02</v>
      </c>
      <c r="C6" s="338">
        <f>B6/FPL!$H$6</f>
        <v>0.50515972222222227</v>
      </c>
      <c r="D6" s="532">
        <v>12779.49</v>
      </c>
      <c r="E6" s="401">
        <f>D6/FPL!$H$6</f>
        <v>0.63390327380952383</v>
      </c>
      <c r="G6" s="666"/>
      <c r="H6" s="391">
        <f>H5/3203</f>
        <v>0.36403371838901033</v>
      </c>
      <c r="I6" s="391">
        <f t="shared" ref="I6:L6" si="1">I5/3203</f>
        <v>0.28036216047455509</v>
      </c>
      <c r="J6" s="391">
        <f t="shared" si="1"/>
        <v>0.17546050577583516</v>
      </c>
      <c r="K6" s="391">
        <f t="shared" si="1"/>
        <v>0.12082422728691851</v>
      </c>
      <c r="L6" s="391">
        <f t="shared" si="1"/>
        <v>5.9319388073680923E-2</v>
      </c>
      <c r="M6" s="190"/>
      <c r="O6" s="385"/>
      <c r="P6" s="407">
        <f>P5/6490</f>
        <v>0.56918335901386752</v>
      </c>
      <c r="Q6" s="392">
        <f t="shared" ref="Q6:T6" si="2">Q5/6490</f>
        <v>0.10801232665639446</v>
      </c>
      <c r="R6" s="392">
        <f t="shared" si="2"/>
        <v>0.1</v>
      </c>
      <c r="S6" s="392">
        <f t="shared" si="2"/>
        <v>8.0123266563944529E-2</v>
      </c>
      <c r="T6" s="392">
        <f t="shared" si="2"/>
        <v>0.14268104776579352</v>
      </c>
      <c r="U6" s="390"/>
      <c r="V6" s="406"/>
      <c r="Y6" s="469"/>
      <c r="AA6" t="s">
        <v>272</v>
      </c>
      <c r="AB6" s="176">
        <f>Q5+R5+S5+T5+R7+S7+T7+S9+T9+T11</f>
        <v>8182</v>
      </c>
      <c r="AC6" s="473">
        <f t="shared" si="0"/>
        <v>0.36356365252166184</v>
      </c>
    </row>
    <row r="7" spans="1:30" ht="15.75" thickBot="1">
      <c r="A7" s="400" t="s">
        <v>266</v>
      </c>
      <c r="B7" s="533">
        <v>21290.81</v>
      </c>
      <c r="C7" s="402">
        <f>B7/FPL!$H$6</f>
        <v>1.056091765873016</v>
      </c>
      <c r="D7" s="533">
        <v>18347.900000000001</v>
      </c>
      <c r="E7" s="403">
        <f>D7/FPL!$H$6</f>
        <v>0.91011408730158738</v>
      </c>
      <c r="G7" s="666" t="s">
        <v>263</v>
      </c>
      <c r="H7" s="83">
        <v>744</v>
      </c>
      <c r="I7" s="83">
        <v>874</v>
      </c>
      <c r="J7" s="83">
        <v>725</v>
      </c>
      <c r="K7" s="83">
        <v>559</v>
      </c>
      <c r="L7" s="83">
        <v>301</v>
      </c>
      <c r="M7" s="190">
        <v>3203</v>
      </c>
      <c r="O7" s="385">
        <v>1</v>
      </c>
      <c r="P7" s="388">
        <v>987</v>
      </c>
      <c r="Q7" s="388">
        <v>357</v>
      </c>
      <c r="R7" s="388">
        <v>410</v>
      </c>
      <c r="S7" s="388">
        <v>402</v>
      </c>
      <c r="T7" s="389">
        <v>1055</v>
      </c>
      <c r="U7" s="390">
        <v>3211</v>
      </c>
      <c r="V7" s="406">
        <f t="shared" ref="V7:V13" si="3">U7/22505</f>
        <v>0.14267940457676073</v>
      </c>
      <c r="W7" s="176">
        <f>U7-Q15</f>
        <v>1104</v>
      </c>
      <c r="X7">
        <f t="shared" ref="X7:X13" si="4">W7*-1</f>
        <v>-1104</v>
      </c>
      <c r="Y7" s="469">
        <f>100%-P8-Q8</f>
        <v>0.58143880411086879</v>
      </c>
      <c r="AB7">
        <f>SUM(AB4:AB6)</f>
        <v>22505</v>
      </c>
    </row>
    <row r="8" spans="1:30">
      <c r="B8" s="132"/>
      <c r="C8" s="132"/>
      <c r="D8" s="132"/>
      <c r="E8" s="132"/>
      <c r="G8" s="666"/>
      <c r="H8" s="391">
        <f>H7/3203</f>
        <v>0.23228223540430845</v>
      </c>
      <c r="I8" s="391">
        <f t="shared" ref="I8:L8" si="5">I7/3203</f>
        <v>0.27286918513893227</v>
      </c>
      <c r="J8" s="391">
        <f t="shared" si="5"/>
        <v>0.22635029659694036</v>
      </c>
      <c r="K8" s="391">
        <f t="shared" si="5"/>
        <v>0.17452388385888229</v>
      </c>
      <c r="L8" s="391">
        <f t="shared" si="5"/>
        <v>9.3974399000936626E-2</v>
      </c>
      <c r="M8" s="190"/>
      <c r="N8" s="405">
        <f>55.2-70.5</f>
        <v>-15.299999999999997</v>
      </c>
      <c r="O8" s="385"/>
      <c r="P8" s="392">
        <f>P7/3211</f>
        <v>0.30738087823108068</v>
      </c>
      <c r="Q8" s="407">
        <f t="shared" ref="Q8:T8" si="6">Q7/3211</f>
        <v>0.11118031765805045</v>
      </c>
      <c r="R8" s="392">
        <f t="shared" si="6"/>
        <v>0.12768607910308316</v>
      </c>
      <c r="S8" s="392">
        <f t="shared" si="6"/>
        <v>0.12519464341326689</v>
      </c>
      <c r="T8" s="392">
        <f t="shared" si="6"/>
        <v>0.32855808159451882</v>
      </c>
      <c r="U8" s="390"/>
      <c r="V8" s="406"/>
      <c r="Y8" s="469"/>
    </row>
    <row r="9" spans="1:30">
      <c r="G9" s="666" t="s">
        <v>264</v>
      </c>
      <c r="H9" s="83">
        <v>533</v>
      </c>
      <c r="I9" s="83">
        <v>679</v>
      </c>
      <c r="J9" s="83">
        <v>818</v>
      </c>
      <c r="K9" s="83">
        <v>696</v>
      </c>
      <c r="L9" s="83">
        <v>477</v>
      </c>
      <c r="M9" s="190">
        <v>3203</v>
      </c>
      <c r="O9" s="385">
        <v>2</v>
      </c>
      <c r="P9" s="388">
        <v>807</v>
      </c>
      <c r="Q9" s="388">
        <v>403</v>
      </c>
      <c r="R9" s="388">
        <v>448</v>
      </c>
      <c r="S9" s="388">
        <v>454</v>
      </c>
      <c r="T9" s="389">
        <v>1546</v>
      </c>
      <c r="U9" s="390">
        <v>3658</v>
      </c>
      <c r="V9" s="406">
        <f t="shared" si="3"/>
        <v>0.16254165740946455</v>
      </c>
      <c r="W9" s="176">
        <f>U9-R15</f>
        <v>1265</v>
      </c>
      <c r="X9">
        <f t="shared" si="4"/>
        <v>-1265</v>
      </c>
      <c r="Y9" s="469">
        <f>100%-P10-Q10-R10</f>
        <v>0.54674685620557673</v>
      </c>
      <c r="AA9" t="s">
        <v>273</v>
      </c>
      <c r="AB9" s="181">
        <f>AC4</f>
        <v>0.24972228393690291</v>
      </c>
    </row>
    <row r="10" spans="1:30">
      <c r="G10" s="666"/>
      <c r="H10" s="391">
        <f>H9/3203</f>
        <v>0.16640649391195753</v>
      </c>
      <c r="I10" s="391">
        <f t="shared" ref="I10:L10" si="7">I9/3203</f>
        <v>0.21198876053699656</v>
      </c>
      <c r="J10" s="391">
        <f t="shared" si="7"/>
        <v>0.25538557602247891</v>
      </c>
      <c r="K10" s="391">
        <f t="shared" si="7"/>
        <v>0.21729628473306276</v>
      </c>
      <c r="L10" s="391">
        <f t="shared" si="7"/>
        <v>0.14892288479550422</v>
      </c>
      <c r="M10" s="190"/>
      <c r="O10" s="385"/>
      <c r="P10" s="392">
        <f>P9/3658</f>
        <v>0.22061235647895025</v>
      </c>
      <c r="Q10" s="392">
        <f t="shared" ref="Q10:T10" si="8">Q9/3658</f>
        <v>0.11016949152542373</v>
      </c>
      <c r="R10" s="407">
        <f t="shared" si="8"/>
        <v>0.1224712957900492</v>
      </c>
      <c r="S10" s="392">
        <f t="shared" si="8"/>
        <v>0.12411153635866594</v>
      </c>
      <c r="T10" s="392">
        <f t="shared" si="8"/>
        <v>0.42263531984691088</v>
      </c>
      <c r="U10" s="390"/>
      <c r="V10" s="406"/>
      <c r="Y10" s="469"/>
      <c r="AA10" t="s">
        <v>274</v>
      </c>
      <c r="AB10" s="181">
        <f>AC5</f>
        <v>0.38671406354143523</v>
      </c>
    </row>
    <row r="11" spans="1:30">
      <c r="G11" s="666" t="s">
        <v>265</v>
      </c>
      <c r="H11" s="83">
        <v>394</v>
      </c>
      <c r="I11" s="83">
        <v>433</v>
      </c>
      <c r="J11" s="83">
        <v>700</v>
      </c>
      <c r="K11" s="83">
        <v>854</v>
      </c>
      <c r="L11" s="83">
        <v>822</v>
      </c>
      <c r="M11" s="190">
        <v>3203</v>
      </c>
      <c r="O11" s="385">
        <v>3</v>
      </c>
      <c r="P11" s="388">
        <v>594</v>
      </c>
      <c r="Q11" s="388">
        <v>331</v>
      </c>
      <c r="R11" s="388">
        <v>384</v>
      </c>
      <c r="S11" s="388">
        <v>517</v>
      </c>
      <c r="T11" s="389">
        <v>1519</v>
      </c>
      <c r="U11" s="390">
        <v>3345</v>
      </c>
      <c r="V11" s="406">
        <f t="shared" si="3"/>
        <v>0.14863363696956233</v>
      </c>
      <c r="W11" s="176">
        <f>U11-S15</f>
        <v>709</v>
      </c>
      <c r="X11">
        <f t="shared" si="4"/>
        <v>-709</v>
      </c>
      <c r="Y11" s="469">
        <f>100%-P12-Q12-R12-S12</f>
        <v>0.45411061285500737</v>
      </c>
      <c r="AA11" t="s">
        <v>275</v>
      </c>
      <c r="AB11" s="181">
        <f>AC6</f>
        <v>0.36356365252166184</v>
      </c>
    </row>
    <row r="12" spans="1:30">
      <c r="G12" s="666"/>
      <c r="H12" s="391">
        <f>H11/3203</f>
        <v>0.12300967842647519</v>
      </c>
      <c r="I12" s="391">
        <f t="shared" ref="I12:L12" si="9">I11/3203</f>
        <v>0.1351857633468623</v>
      </c>
      <c r="J12" s="391">
        <f t="shared" si="9"/>
        <v>0.21854511395566656</v>
      </c>
      <c r="K12" s="391">
        <f t="shared" si="9"/>
        <v>0.26662503902591322</v>
      </c>
      <c r="L12" s="391">
        <f t="shared" si="9"/>
        <v>0.25663440524508274</v>
      </c>
      <c r="M12" s="190"/>
      <c r="O12" s="385"/>
      <c r="P12" s="392">
        <f>P11/3345</f>
        <v>0.17757847533632287</v>
      </c>
      <c r="Q12" s="392">
        <f t="shared" ref="Q12:T12" si="10">Q11/3345</f>
        <v>9.8953662182361735E-2</v>
      </c>
      <c r="R12" s="392">
        <f t="shared" si="10"/>
        <v>0.11479820627802691</v>
      </c>
      <c r="S12" s="407">
        <f t="shared" si="10"/>
        <v>0.15455904334828102</v>
      </c>
      <c r="T12" s="392">
        <f t="shared" si="10"/>
        <v>0.45411061285500748</v>
      </c>
      <c r="U12" s="390"/>
      <c r="V12" s="406"/>
      <c r="Y12" s="469"/>
      <c r="AD12" s="181">
        <f>AB9+AB10</f>
        <v>0.6364363474783381</v>
      </c>
    </row>
    <row r="13" spans="1:30">
      <c r="G13" s="666" t="s">
        <v>266</v>
      </c>
      <c r="H13" s="83">
        <v>366</v>
      </c>
      <c r="I13" s="83">
        <v>319</v>
      </c>
      <c r="J13" s="83">
        <v>398</v>
      </c>
      <c r="K13" s="83">
        <v>707</v>
      </c>
      <c r="L13" s="189">
        <v>1413</v>
      </c>
      <c r="M13" s="190">
        <v>3203</v>
      </c>
      <c r="O13" s="385">
        <v>4</v>
      </c>
      <c r="P13" s="388">
        <v>554</v>
      </c>
      <c r="Q13" s="388">
        <v>315</v>
      </c>
      <c r="R13" s="388">
        <v>502</v>
      </c>
      <c r="S13" s="388">
        <v>743</v>
      </c>
      <c r="T13" s="389">
        <v>3687</v>
      </c>
      <c r="U13" s="390">
        <v>5801</v>
      </c>
      <c r="V13" s="406">
        <f t="shared" si="3"/>
        <v>0.25776494112419462</v>
      </c>
      <c r="W13" s="176">
        <f>U13-T15</f>
        <v>-2932</v>
      </c>
      <c r="X13">
        <f t="shared" si="4"/>
        <v>2932</v>
      </c>
      <c r="Y13" s="469">
        <f>100%-P14-Q14-R14-S14</f>
        <v>0.63558007240131009</v>
      </c>
    </row>
    <row r="14" spans="1:30">
      <c r="G14" s="666"/>
      <c r="H14" s="391">
        <f>H13/3203</f>
        <v>0.11426787386824852</v>
      </c>
      <c r="I14" s="391">
        <f t="shared" ref="I14:L14" si="11">I13/3203</f>
        <v>9.9594130502653769E-2</v>
      </c>
      <c r="J14" s="391">
        <f t="shared" si="11"/>
        <v>0.12425850764907899</v>
      </c>
      <c r="K14" s="391">
        <f t="shared" si="11"/>
        <v>0.22073056509522324</v>
      </c>
      <c r="L14" s="391">
        <f t="shared" si="11"/>
        <v>0.44114892288479551</v>
      </c>
      <c r="M14" s="191"/>
      <c r="O14" s="385"/>
      <c r="P14" s="392">
        <f>P13/5801</f>
        <v>9.5500775728322704E-2</v>
      </c>
      <c r="Q14" s="392">
        <f t="shared" ref="Q14:T14" si="12">Q13/5801</f>
        <v>5.4300982589208756E-2</v>
      </c>
      <c r="R14" s="392">
        <f t="shared" si="12"/>
        <v>8.6536803999310463E-2</v>
      </c>
      <c r="S14" s="392">
        <f t="shared" si="12"/>
        <v>0.12808136528184796</v>
      </c>
      <c r="T14" s="407">
        <f t="shared" si="12"/>
        <v>0.63558007240131009</v>
      </c>
      <c r="U14" s="386"/>
      <c r="V14" s="406"/>
      <c r="AB14" s="181">
        <f>AB10+AB11</f>
        <v>0.75027771606309712</v>
      </c>
    </row>
    <row r="15" spans="1:30" ht="15.75" thickBot="1">
      <c r="G15" s="4" t="s">
        <v>267</v>
      </c>
      <c r="H15" s="192">
        <v>3203</v>
      </c>
      <c r="I15" s="192">
        <v>3203</v>
      </c>
      <c r="J15" s="192">
        <v>3203</v>
      </c>
      <c r="K15" s="192">
        <v>3203</v>
      </c>
      <c r="L15" s="192">
        <v>3203</v>
      </c>
      <c r="M15" s="194">
        <v>16015</v>
      </c>
      <c r="O15" s="393" t="s">
        <v>267</v>
      </c>
      <c r="P15" s="394">
        <v>6636</v>
      </c>
      <c r="Q15" s="394">
        <v>2107</v>
      </c>
      <c r="R15" s="394">
        <v>2393</v>
      </c>
      <c r="S15" s="394">
        <v>2636</v>
      </c>
      <c r="T15" s="394">
        <v>8733</v>
      </c>
      <c r="U15" s="395">
        <v>22505</v>
      </c>
      <c r="V15" s="406"/>
      <c r="W15" s="473">
        <f>P5/U15</f>
        <v>0.1641413019329038</v>
      </c>
    </row>
    <row r="16" spans="1:30" s="336" customFormat="1">
      <c r="O16" s="336" t="s">
        <v>138</v>
      </c>
      <c r="P16" s="404">
        <f>P15/22505</f>
        <v>0.29486780715396577</v>
      </c>
      <c r="Q16" s="404">
        <f t="shared" ref="Q16:T16" si="13">Q15/22505</f>
        <v>9.3623639191290825E-2</v>
      </c>
      <c r="R16" s="404">
        <f t="shared" si="13"/>
        <v>0.10633192623861364</v>
      </c>
      <c r="S16" s="404">
        <f t="shared" si="13"/>
        <v>0.11712952677182849</v>
      </c>
      <c r="T16" s="404">
        <f t="shared" si="13"/>
        <v>0.38804710064430126</v>
      </c>
    </row>
    <row r="17" spans="1:29" s="336" customFormat="1">
      <c r="O17" s="336" t="s">
        <v>137</v>
      </c>
      <c r="P17" s="404">
        <f>V5</f>
        <v>0.28838035992001776</v>
      </c>
      <c r="Q17" s="404">
        <f>V7</f>
        <v>0.14267940457676073</v>
      </c>
      <c r="R17" s="404">
        <f>V9</f>
        <v>0.16254165740946455</v>
      </c>
      <c r="S17" s="404">
        <f>V11</f>
        <v>0.14863363696956233</v>
      </c>
      <c r="T17" s="404">
        <f>V13</f>
        <v>0.25776494112419462</v>
      </c>
    </row>
    <row r="18" spans="1:29" s="336" customFormat="1" ht="15.75" thickBot="1">
      <c r="O18" s="336" t="str">
        <f>O16</f>
        <v>After Exit</v>
      </c>
      <c r="P18" s="470">
        <f t="shared" ref="P18:T18" si="14">P16</f>
        <v>0.29486780715396577</v>
      </c>
      <c r="Q18" s="470">
        <f t="shared" si="14"/>
        <v>9.3623639191290825E-2</v>
      </c>
      <c r="R18" s="470">
        <f t="shared" si="14"/>
        <v>0.10633192623861364</v>
      </c>
      <c r="S18" s="470">
        <f t="shared" si="14"/>
        <v>0.11712952677182849</v>
      </c>
      <c r="T18" s="470">
        <f t="shared" si="14"/>
        <v>0.38804710064430126</v>
      </c>
    </row>
    <row r="19" spans="1:29" ht="27.75" customHeight="1">
      <c r="A19" s="671" t="s">
        <v>276</v>
      </c>
      <c r="B19" s="672"/>
      <c r="C19" s="672"/>
      <c r="D19" s="672"/>
      <c r="E19" s="673"/>
      <c r="G19" s="657" t="s">
        <v>276</v>
      </c>
      <c r="H19" s="658"/>
      <c r="I19" s="658"/>
      <c r="J19" s="658"/>
      <c r="K19" s="658"/>
      <c r="L19" s="658"/>
      <c r="M19" s="659"/>
      <c r="O19" s="657" t="s">
        <v>277</v>
      </c>
      <c r="P19" s="658"/>
      <c r="Q19" s="658"/>
      <c r="R19" s="658"/>
      <c r="S19" s="658"/>
      <c r="T19" s="658"/>
      <c r="U19" s="659"/>
      <c r="V19" s="542"/>
      <c r="W19" s="176"/>
    </row>
    <row r="20" spans="1:29" ht="45">
      <c r="A20" s="529" t="s">
        <v>256</v>
      </c>
      <c r="B20" s="397" t="s">
        <v>257</v>
      </c>
      <c r="C20" s="397" t="s">
        <v>258</v>
      </c>
      <c r="D20" s="397" t="s">
        <v>259</v>
      </c>
      <c r="E20" s="398" t="s">
        <v>258</v>
      </c>
      <c r="G20" s="3"/>
      <c r="H20" s="656" t="s">
        <v>278</v>
      </c>
      <c r="I20" s="656"/>
      <c r="J20" s="656"/>
      <c r="K20" s="656"/>
      <c r="L20" s="656"/>
      <c r="M20" s="191"/>
      <c r="O20" s="3"/>
      <c r="P20" s="656" t="s">
        <v>261</v>
      </c>
      <c r="Q20" s="656"/>
      <c r="R20" s="656"/>
      <c r="S20" s="656"/>
      <c r="T20" s="656"/>
      <c r="U20" s="191"/>
      <c r="V20" s="189">
        <f>Q5+R5+S5+T5+R7+S7+T7+S9+T9+T11</f>
        <v>8182</v>
      </c>
      <c r="W20">
        <f>P7+Q9+P9+R11+Q11+P11+S13+R13+Q13+P13</f>
        <v>5620</v>
      </c>
    </row>
    <row r="21" spans="1:29" ht="31.9" customHeight="1">
      <c r="A21" s="399" t="s">
        <v>262</v>
      </c>
      <c r="B21" s="532">
        <v>417.3098</v>
      </c>
      <c r="C21" s="338">
        <f>B21/FPL!$H$6</f>
        <v>2.0699890873015873E-2</v>
      </c>
      <c r="D21" s="532">
        <v>3687.2919999999999</v>
      </c>
      <c r="E21" s="401">
        <f>D21/FPL!$H$6</f>
        <v>0.18290138888888888</v>
      </c>
      <c r="G21" s="3"/>
      <c r="H21" s="83" t="s">
        <v>262</v>
      </c>
      <c r="I21" s="83" t="s">
        <v>263</v>
      </c>
      <c r="J21" s="83" t="s">
        <v>264</v>
      </c>
      <c r="K21" s="83" t="s">
        <v>265</v>
      </c>
      <c r="L21" s="83" t="s">
        <v>266</v>
      </c>
      <c r="M21" s="191" t="s">
        <v>267</v>
      </c>
      <c r="O21" s="387"/>
      <c r="P21" s="83">
        <v>0</v>
      </c>
      <c r="Q21" s="83">
        <v>1</v>
      </c>
      <c r="R21" s="83">
        <v>2</v>
      </c>
      <c r="S21" s="83">
        <v>3</v>
      </c>
      <c r="T21" s="83">
        <v>4</v>
      </c>
      <c r="U21" s="191" t="s">
        <v>267</v>
      </c>
      <c r="V21" s="384">
        <f>V20/U15</f>
        <v>0.36356365252166184</v>
      </c>
      <c r="W21" s="473">
        <f>W20/U15</f>
        <v>0.24972228393690291</v>
      </c>
      <c r="AB21" s="389"/>
      <c r="AC21" s="473"/>
    </row>
    <row r="22" spans="1:29" ht="30">
      <c r="A22" s="399" t="s">
        <v>263</v>
      </c>
      <c r="B22" s="532">
        <v>1769.633</v>
      </c>
      <c r="C22" s="338">
        <f>B22/FPL!$H$6</f>
        <v>8.7779414682539678E-2</v>
      </c>
      <c r="D22" s="532">
        <v>5351.6019999999999</v>
      </c>
      <c r="E22" s="401">
        <f>D22/FPL!$H$6</f>
        <v>0.26545644841269839</v>
      </c>
      <c r="G22" s="3" t="s">
        <v>279</v>
      </c>
      <c r="H22" s="83"/>
      <c r="I22" s="83"/>
      <c r="J22" s="83"/>
      <c r="K22" s="83"/>
      <c r="L22" s="83"/>
      <c r="M22" s="191"/>
      <c r="O22" s="387" t="s">
        <v>268</v>
      </c>
      <c r="P22" s="83"/>
      <c r="Q22" s="83"/>
      <c r="R22" s="83"/>
      <c r="S22" s="83"/>
      <c r="T22" s="83"/>
      <c r="U22" s="191"/>
      <c r="V22" s="189">
        <f>Q7+R9+S11+T13</f>
        <v>5009</v>
      </c>
      <c r="AA22" t="s">
        <v>270</v>
      </c>
      <c r="AB22">
        <f>P25+P27+Q27+P29+Q29+R29+S31+R31+Q31+P31</f>
        <v>1703</v>
      </c>
      <c r="AC22" s="473">
        <f>AB22/6090</f>
        <v>0.27963875205254518</v>
      </c>
    </row>
    <row r="23" spans="1:29">
      <c r="A23" s="399" t="s">
        <v>264</v>
      </c>
      <c r="B23" s="532">
        <v>4075.529</v>
      </c>
      <c r="C23" s="338">
        <f>B23/FPL!$H$6</f>
        <v>0.20215917658730159</v>
      </c>
      <c r="D23" s="532">
        <v>6305.8530000000001</v>
      </c>
      <c r="E23" s="401">
        <f>D23/FPL!$H$6</f>
        <v>0.31279032738095236</v>
      </c>
      <c r="G23" s="666" t="s">
        <v>262</v>
      </c>
      <c r="H23" s="83">
        <v>296</v>
      </c>
      <c r="I23" s="83">
        <v>208</v>
      </c>
      <c r="J23" s="83">
        <v>152</v>
      </c>
      <c r="K23" s="83">
        <v>98</v>
      </c>
      <c r="L23" s="83">
        <v>61</v>
      </c>
      <c r="M23" s="191">
        <v>815</v>
      </c>
      <c r="O23" s="3">
        <v>0</v>
      </c>
      <c r="P23" s="189">
        <v>1060</v>
      </c>
      <c r="Q23" s="83">
        <v>272</v>
      </c>
      <c r="R23" s="83">
        <v>236</v>
      </c>
      <c r="S23" s="83">
        <v>188</v>
      </c>
      <c r="T23" s="83">
        <v>259</v>
      </c>
      <c r="U23" s="190">
        <v>2015</v>
      </c>
      <c r="V23" s="384">
        <f>U23/6090</f>
        <v>0.3308702791461412</v>
      </c>
      <c r="W23" s="183">
        <f>T13/U15</f>
        <v>0.16383025994223505</v>
      </c>
      <c r="AA23" t="s">
        <v>271</v>
      </c>
      <c r="AB23" s="176">
        <f>P23+Q25+R27+S29+T31</f>
        <v>2189</v>
      </c>
      <c r="AC23" s="473">
        <f t="shared" ref="AC23:AC24" si="15">AB23/6090</f>
        <v>0.35944170771756978</v>
      </c>
    </row>
    <row r="24" spans="1:29">
      <c r="A24" s="399" t="s">
        <v>265</v>
      </c>
      <c r="B24" s="532">
        <v>7962.3519999999999</v>
      </c>
      <c r="C24" s="338">
        <f>B24/FPL!$H$6</f>
        <v>0.39495793650793648</v>
      </c>
      <c r="D24" s="532">
        <v>8417.607</v>
      </c>
      <c r="E24" s="401">
        <f>D24/FPL!$H$6</f>
        <v>0.41754002976190474</v>
      </c>
      <c r="G24" s="666"/>
      <c r="H24" s="396">
        <f>H23/815</f>
        <v>0.36319018404907977</v>
      </c>
      <c r="I24" s="396">
        <f t="shared" ref="I24:L24" si="16">I23/815</f>
        <v>0.25521472392638039</v>
      </c>
      <c r="J24" s="396">
        <f t="shared" si="16"/>
        <v>0.18650306748466258</v>
      </c>
      <c r="K24" s="396">
        <f t="shared" si="16"/>
        <v>0.12024539877300613</v>
      </c>
      <c r="L24" s="396">
        <f t="shared" si="16"/>
        <v>7.4846625766871164E-2</v>
      </c>
      <c r="M24" s="191"/>
      <c r="O24" s="3"/>
      <c r="P24" s="396">
        <f>P23/$U23</f>
        <v>0.52605459057071957</v>
      </c>
      <c r="Q24" s="396">
        <f t="shared" ref="Q24:T24" si="17">Q23/$U23</f>
        <v>0.13498759305210919</v>
      </c>
      <c r="R24" s="396">
        <f t="shared" si="17"/>
        <v>0.11712158808933003</v>
      </c>
      <c r="S24" s="396">
        <f t="shared" si="17"/>
        <v>9.330024813895782E-2</v>
      </c>
      <c r="T24" s="396">
        <f t="shared" si="17"/>
        <v>0.12853598014888337</v>
      </c>
      <c r="U24" s="190"/>
      <c r="V24" s="384"/>
      <c r="AA24" t="s">
        <v>272</v>
      </c>
      <c r="AB24" s="176">
        <f>Q23+R23+S23+T23+R25+S25+T25+S27+T27+T29</f>
        <v>2198</v>
      </c>
      <c r="AC24" s="473">
        <f t="shared" si="15"/>
        <v>0.36091954022988504</v>
      </c>
    </row>
    <row r="25" spans="1:29" ht="15.75" thickBot="1">
      <c r="A25" s="400" t="s">
        <v>266</v>
      </c>
      <c r="B25" s="533">
        <v>18959.93</v>
      </c>
      <c r="C25" s="402">
        <f>B25/FPL!$H$6</f>
        <v>0.94047271825396828</v>
      </c>
      <c r="D25" s="533">
        <v>13260.21</v>
      </c>
      <c r="E25" s="403">
        <f>D25/FPL!$H$6</f>
        <v>0.65774851190476191</v>
      </c>
      <c r="G25" s="666" t="s">
        <v>263</v>
      </c>
      <c r="H25" s="83">
        <v>182</v>
      </c>
      <c r="I25" s="83">
        <v>192</v>
      </c>
      <c r="J25" s="83">
        <v>186</v>
      </c>
      <c r="K25" s="83">
        <v>170</v>
      </c>
      <c r="L25" s="83">
        <v>85</v>
      </c>
      <c r="M25" s="191">
        <v>815</v>
      </c>
      <c r="O25" s="3">
        <v>1</v>
      </c>
      <c r="P25" s="83">
        <v>319</v>
      </c>
      <c r="Q25" s="83">
        <v>133</v>
      </c>
      <c r="R25" s="83">
        <v>146</v>
      </c>
      <c r="S25" s="83">
        <v>131</v>
      </c>
      <c r="T25" s="83">
        <v>218</v>
      </c>
      <c r="U25" s="191">
        <v>947</v>
      </c>
      <c r="V25" s="384">
        <f t="shared" ref="V25:V31" si="18">U25/6090</f>
        <v>0.1555008210180624</v>
      </c>
      <c r="AB25">
        <f>SUM(AB22:AB24)</f>
        <v>6090</v>
      </c>
      <c r="AC25" s="181"/>
    </row>
    <row r="26" spans="1:29">
      <c r="G26" s="666"/>
      <c r="H26" s="396">
        <f>H25/815</f>
        <v>0.22331288343558281</v>
      </c>
      <c r="I26" s="396">
        <f t="shared" ref="I26:L26" si="19">I25/815</f>
        <v>0.23558282208588957</v>
      </c>
      <c r="J26" s="396">
        <f t="shared" si="19"/>
        <v>0.22822085889570551</v>
      </c>
      <c r="K26" s="396">
        <f t="shared" si="19"/>
        <v>0.20858895705521471</v>
      </c>
      <c r="L26" s="396">
        <f t="shared" si="19"/>
        <v>0.10429447852760736</v>
      </c>
      <c r="M26" s="191"/>
      <c r="O26" s="3"/>
      <c r="P26" s="396">
        <f>P25/947</f>
        <v>0.33685322069693768</v>
      </c>
      <c r="Q26" s="396">
        <f t="shared" ref="Q26:T26" si="20">Q25/947</f>
        <v>0.14044350580781415</v>
      </c>
      <c r="R26" s="396">
        <f t="shared" si="20"/>
        <v>0.15417106652587118</v>
      </c>
      <c r="S26" s="396">
        <f t="shared" si="20"/>
        <v>0.13833157338965152</v>
      </c>
      <c r="T26" s="396">
        <f t="shared" si="20"/>
        <v>0.23020063357972545</v>
      </c>
      <c r="U26" s="191"/>
      <c r="V26" s="384"/>
      <c r="AC26" s="181"/>
    </row>
    <row r="27" spans="1:29">
      <c r="G27" s="666" t="s">
        <v>264</v>
      </c>
      <c r="H27" s="83">
        <v>169</v>
      </c>
      <c r="I27" s="83">
        <v>156</v>
      </c>
      <c r="J27" s="83">
        <v>176</v>
      </c>
      <c r="K27" s="83">
        <v>187</v>
      </c>
      <c r="L27" s="83">
        <v>127</v>
      </c>
      <c r="M27" s="191">
        <v>815</v>
      </c>
      <c r="O27" s="3">
        <v>2</v>
      </c>
      <c r="P27" s="83">
        <v>242</v>
      </c>
      <c r="Q27" s="83">
        <v>124</v>
      </c>
      <c r="R27" s="83">
        <v>154</v>
      </c>
      <c r="S27" s="83">
        <v>154</v>
      </c>
      <c r="T27" s="83">
        <v>282</v>
      </c>
      <c r="U27" s="191">
        <v>956</v>
      </c>
      <c r="V27" s="384">
        <f t="shared" si="18"/>
        <v>0.15697865353037768</v>
      </c>
      <c r="W27" t="s">
        <v>273</v>
      </c>
      <c r="AA27" t="s">
        <v>273</v>
      </c>
      <c r="AB27" s="181">
        <f>AC22</f>
        <v>0.27963875205254518</v>
      </c>
    </row>
    <row r="28" spans="1:29">
      <c r="G28" s="666"/>
      <c r="H28" s="396">
        <f>H27/815</f>
        <v>0.20736196319018405</v>
      </c>
      <c r="I28" s="396">
        <f t="shared" ref="I28:L28" si="21">I27/815</f>
        <v>0.19141104294478528</v>
      </c>
      <c r="J28" s="396">
        <f t="shared" si="21"/>
        <v>0.21595092024539878</v>
      </c>
      <c r="K28" s="396">
        <f t="shared" si="21"/>
        <v>0.2294478527607362</v>
      </c>
      <c r="L28" s="396">
        <f t="shared" si="21"/>
        <v>0.15582822085889569</v>
      </c>
      <c r="M28" s="191"/>
      <c r="O28" s="3"/>
      <c r="P28" s="396">
        <f>P27/956</f>
        <v>0.25313807531380755</v>
      </c>
      <c r="Q28" s="396">
        <f t="shared" ref="Q28:T28" si="22">Q27/956</f>
        <v>0.1297071129707113</v>
      </c>
      <c r="R28" s="396">
        <f t="shared" si="22"/>
        <v>0.16108786610878661</v>
      </c>
      <c r="S28" s="396">
        <f t="shared" si="22"/>
        <v>0.16108786610878661</v>
      </c>
      <c r="T28" s="396">
        <f t="shared" si="22"/>
        <v>0.29497907949790797</v>
      </c>
      <c r="U28" s="191"/>
      <c r="V28" s="384"/>
      <c r="W28" t="s">
        <v>275</v>
      </c>
      <c r="AA28" t="s">
        <v>274</v>
      </c>
      <c r="AB28" s="181">
        <f>AC23</f>
        <v>0.35944170771756978</v>
      </c>
    </row>
    <row r="29" spans="1:29">
      <c r="G29" s="666" t="s">
        <v>265</v>
      </c>
      <c r="H29" s="83">
        <v>121</v>
      </c>
      <c r="I29" s="83">
        <v>115</v>
      </c>
      <c r="J29" s="83">
        <v>188</v>
      </c>
      <c r="K29" s="83">
        <v>200</v>
      </c>
      <c r="L29" s="83">
        <v>191</v>
      </c>
      <c r="M29" s="191">
        <v>815</v>
      </c>
      <c r="O29" s="3">
        <v>3</v>
      </c>
      <c r="P29" s="83">
        <v>181</v>
      </c>
      <c r="Q29" s="83">
        <v>107</v>
      </c>
      <c r="R29" s="83">
        <v>133</v>
      </c>
      <c r="S29" s="83">
        <v>171</v>
      </c>
      <c r="T29" s="83">
        <v>312</v>
      </c>
      <c r="U29" s="191">
        <v>904</v>
      </c>
      <c r="V29" s="384">
        <f t="shared" si="18"/>
        <v>0.14844006568144499</v>
      </c>
      <c r="W29" t="s">
        <v>274</v>
      </c>
      <c r="AA29" t="s">
        <v>275</v>
      </c>
      <c r="AB29" s="181">
        <f>AC24</f>
        <v>0.36091954022988504</v>
      </c>
    </row>
    <row r="30" spans="1:29">
      <c r="G30" s="666"/>
      <c r="H30" s="396">
        <f>H29/815</f>
        <v>0.14846625766871166</v>
      </c>
      <c r="I30" s="396">
        <f t="shared" ref="I30:L30" si="23">I29/815</f>
        <v>0.1411042944785276</v>
      </c>
      <c r="J30" s="396">
        <f t="shared" si="23"/>
        <v>0.23067484662576687</v>
      </c>
      <c r="K30" s="396">
        <f t="shared" si="23"/>
        <v>0.24539877300613497</v>
      </c>
      <c r="L30" s="396">
        <f t="shared" si="23"/>
        <v>0.2343558282208589</v>
      </c>
      <c r="M30" s="191"/>
      <c r="O30" s="3"/>
      <c r="P30" s="396">
        <f>181/904</f>
        <v>0.2002212389380531</v>
      </c>
      <c r="Q30" s="396">
        <f t="shared" ref="Q30:T30" si="24">181/904</f>
        <v>0.2002212389380531</v>
      </c>
      <c r="R30" s="396">
        <f t="shared" si="24"/>
        <v>0.2002212389380531</v>
      </c>
      <c r="S30" s="396">
        <f t="shared" si="24"/>
        <v>0.2002212389380531</v>
      </c>
      <c r="T30" s="396">
        <f t="shared" si="24"/>
        <v>0.2002212389380531</v>
      </c>
      <c r="U30" s="191"/>
      <c r="V30" s="384"/>
    </row>
    <row r="31" spans="1:29">
      <c r="G31" s="666" t="s">
        <v>266</v>
      </c>
      <c r="H31" s="83">
        <v>110</v>
      </c>
      <c r="I31" s="83">
        <v>81</v>
      </c>
      <c r="J31" s="83">
        <v>113</v>
      </c>
      <c r="K31" s="83">
        <v>160</v>
      </c>
      <c r="L31" s="83">
        <v>351</v>
      </c>
      <c r="M31" s="191">
        <v>815</v>
      </c>
      <c r="O31" s="3">
        <v>4</v>
      </c>
      <c r="P31" s="83">
        <v>136</v>
      </c>
      <c r="Q31" s="83">
        <v>93</v>
      </c>
      <c r="R31" s="83">
        <v>154</v>
      </c>
      <c r="S31" s="83">
        <v>214</v>
      </c>
      <c r="T31" s="83">
        <v>671</v>
      </c>
      <c r="U31" s="190">
        <v>1268</v>
      </c>
      <c r="V31" s="384">
        <f t="shared" si="18"/>
        <v>0.20821018062397373</v>
      </c>
    </row>
    <row r="32" spans="1:29">
      <c r="G32" s="666"/>
      <c r="H32" s="396">
        <f>H31/815</f>
        <v>0.13496932515337423</v>
      </c>
      <c r="I32" s="396">
        <f t="shared" ref="I32:L32" si="25">I31/815</f>
        <v>9.9386503067484658E-2</v>
      </c>
      <c r="J32" s="396">
        <f t="shared" si="25"/>
        <v>0.13865030674846626</v>
      </c>
      <c r="K32" s="396">
        <f t="shared" si="25"/>
        <v>0.19631901840490798</v>
      </c>
      <c r="L32" s="396">
        <f t="shared" si="25"/>
        <v>0.43067484662576688</v>
      </c>
      <c r="M32" s="191"/>
      <c r="O32" s="3"/>
      <c r="P32" s="396">
        <f>P31/1268</f>
        <v>0.10725552050473186</v>
      </c>
      <c r="Q32" s="396">
        <f t="shared" ref="Q32:T32" si="26">Q31/1268</f>
        <v>7.3343848580441642E-2</v>
      </c>
      <c r="R32" s="396">
        <f t="shared" si="26"/>
        <v>0.12145110410094637</v>
      </c>
      <c r="S32" s="396">
        <f t="shared" si="26"/>
        <v>0.16876971608832808</v>
      </c>
      <c r="T32" s="396">
        <f t="shared" si="26"/>
        <v>0.52917981072555209</v>
      </c>
      <c r="U32" s="191"/>
      <c r="V32" s="384"/>
    </row>
    <row r="33" spans="1:27" ht="15.75" thickBot="1">
      <c r="G33" s="4" t="s">
        <v>267</v>
      </c>
      <c r="H33" s="193">
        <v>878</v>
      </c>
      <c r="I33" s="193">
        <v>752</v>
      </c>
      <c r="J33" s="193">
        <v>815</v>
      </c>
      <c r="K33" s="193">
        <v>815</v>
      </c>
      <c r="L33" s="193">
        <v>815</v>
      </c>
      <c r="M33" s="194">
        <v>4075</v>
      </c>
      <c r="O33" s="4" t="s">
        <v>267</v>
      </c>
      <c r="P33" s="192">
        <v>1938</v>
      </c>
      <c r="Q33" s="193">
        <v>729</v>
      </c>
      <c r="R33" s="193">
        <v>823</v>
      </c>
      <c r="S33" s="193">
        <v>858</v>
      </c>
      <c r="T33" s="192">
        <v>1742</v>
      </c>
      <c r="U33" s="194">
        <v>6090</v>
      </c>
      <c r="V33" s="384"/>
    </row>
    <row r="34" spans="1:27">
      <c r="P34" s="473">
        <f>P33/6090</f>
        <v>0.31822660098522165</v>
      </c>
      <c r="Q34" s="473">
        <f t="shared" ref="Q34:T34" si="27">Q33/6090</f>
        <v>0.11970443349753694</v>
      </c>
      <c r="R34" s="473">
        <f t="shared" si="27"/>
        <v>0.13513957307060756</v>
      </c>
      <c r="S34" s="473">
        <f t="shared" si="27"/>
        <v>0.14088669950738916</v>
      </c>
      <c r="T34" s="473">
        <f t="shared" si="27"/>
        <v>0.28604269293924467</v>
      </c>
    </row>
    <row r="36" spans="1:27">
      <c r="Y36" t="s">
        <v>280</v>
      </c>
      <c r="Z36" t="s">
        <v>281</v>
      </c>
      <c r="AA36" t="s">
        <v>282</v>
      </c>
    </row>
    <row r="37" spans="1:27" ht="15.75" thickBot="1">
      <c r="D37" s="354">
        <f>FPL!H6</f>
        <v>20160</v>
      </c>
    </row>
    <row r="38" spans="1:27" ht="15.75" thickBot="1">
      <c r="O38" s="657" t="s">
        <v>283</v>
      </c>
      <c r="P38" s="658"/>
      <c r="Q38" s="658"/>
      <c r="R38" s="658"/>
      <c r="S38" s="658"/>
      <c r="T38" s="658"/>
      <c r="U38" s="659"/>
      <c r="Y38">
        <v>0</v>
      </c>
      <c r="Z38">
        <v>15.67</v>
      </c>
      <c r="AA38">
        <v>15.67</v>
      </c>
    </row>
    <row r="39" spans="1:27" ht="62.45" customHeight="1">
      <c r="A39" s="660" t="s">
        <v>284</v>
      </c>
      <c r="B39" s="661"/>
      <c r="C39" s="662"/>
      <c r="O39" s="3"/>
      <c r="P39" s="656" t="s">
        <v>261</v>
      </c>
      <c r="Q39" s="656"/>
      <c r="R39" s="656"/>
      <c r="S39" s="656"/>
      <c r="T39" s="656"/>
      <c r="U39" s="191" t="s">
        <v>267</v>
      </c>
      <c r="Y39">
        <v>1</v>
      </c>
      <c r="Z39">
        <v>6.35</v>
      </c>
      <c r="AA39">
        <v>22.02</v>
      </c>
    </row>
    <row r="40" spans="1:27" ht="30.75" thickBot="1">
      <c r="A40" s="663" t="s">
        <v>285</v>
      </c>
      <c r="B40" s="664"/>
      <c r="C40" s="665"/>
      <c r="O40" s="387" t="s">
        <v>268</v>
      </c>
      <c r="P40">
        <v>0</v>
      </c>
      <c r="Q40">
        <v>1</v>
      </c>
      <c r="R40">
        <v>2</v>
      </c>
      <c r="S40">
        <v>3</v>
      </c>
      <c r="T40">
        <v>4</v>
      </c>
      <c r="U40" s="191"/>
      <c r="Y40">
        <v>2</v>
      </c>
      <c r="Z40">
        <v>7.64</v>
      </c>
      <c r="AA40">
        <v>29.66</v>
      </c>
    </row>
    <row r="41" spans="1:27" ht="30">
      <c r="A41" s="648"/>
      <c r="B41" s="188" t="s">
        <v>135</v>
      </c>
      <c r="C41" s="188" t="s">
        <v>136</v>
      </c>
      <c r="O41" s="3">
        <v>0</v>
      </c>
      <c r="P41" s="83">
        <v>515</v>
      </c>
      <c r="Q41" s="83">
        <v>102</v>
      </c>
      <c r="R41" s="83">
        <v>92</v>
      </c>
      <c r="S41" s="83">
        <v>76</v>
      </c>
      <c r="T41" s="83">
        <v>70</v>
      </c>
      <c r="U41" s="191">
        <v>855</v>
      </c>
      <c r="Y41">
        <v>3</v>
      </c>
      <c r="Z41">
        <v>7.46</v>
      </c>
      <c r="AA41">
        <v>37.119999999999997</v>
      </c>
    </row>
    <row r="42" spans="1:27" ht="30.75" thickBot="1">
      <c r="A42" s="649"/>
      <c r="B42" s="459" t="s">
        <v>286</v>
      </c>
      <c r="C42" s="459" t="s">
        <v>286</v>
      </c>
      <c r="O42" s="3"/>
      <c r="P42" s="396">
        <f>P41/$U41</f>
        <v>0.60233918128654973</v>
      </c>
      <c r="Q42" s="396">
        <f t="shared" ref="Q42:T42" si="28">Q41/$U41</f>
        <v>0.11929824561403508</v>
      </c>
      <c r="R42" s="396">
        <f t="shared" si="28"/>
        <v>0.10760233918128655</v>
      </c>
      <c r="S42" s="396">
        <f t="shared" si="28"/>
        <v>8.8888888888888892E-2</v>
      </c>
      <c r="T42" s="396">
        <f t="shared" si="28"/>
        <v>8.1871345029239762E-2</v>
      </c>
      <c r="U42" s="191"/>
      <c r="Y42">
        <v>4</v>
      </c>
      <c r="Z42">
        <v>8.43</v>
      </c>
      <c r="AA42">
        <v>45.55</v>
      </c>
    </row>
    <row r="43" spans="1:27" ht="33" thickBot="1">
      <c r="A43" s="460" t="s">
        <v>287</v>
      </c>
      <c r="B43" s="461" t="s">
        <v>288</v>
      </c>
      <c r="C43" s="462">
        <v>3495</v>
      </c>
      <c r="D43" s="183"/>
      <c r="E43" s="183">
        <f>C43/20160</f>
        <v>0.17336309523809523</v>
      </c>
      <c r="O43" s="3">
        <v>1</v>
      </c>
      <c r="P43" s="83">
        <v>74</v>
      </c>
      <c r="Q43" s="83">
        <v>42</v>
      </c>
      <c r="R43" s="83">
        <v>43</v>
      </c>
      <c r="S43" s="83">
        <v>42</v>
      </c>
      <c r="T43" s="83">
        <v>84</v>
      </c>
      <c r="U43" s="191">
        <v>285</v>
      </c>
      <c r="Y43">
        <v>5</v>
      </c>
      <c r="Z43">
        <v>9.2200000000000006</v>
      </c>
      <c r="AA43">
        <v>54.77</v>
      </c>
    </row>
    <row r="44" spans="1:27" ht="15.75" thickBot="1">
      <c r="A44" s="460" t="s">
        <v>28</v>
      </c>
      <c r="B44" s="462">
        <v>4339</v>
      </c>
      <c r="C44" s="462">
        <v>9602</v>
      </c>
      <c r="D44" s="183">
        <f t="shared" ref="D44:D46" si="29">B44/20160</f>
        <v>0.21522817460317462</v>
      </c>
      <c r="E44" s="183">
        <f t="shared" ref="E44:E46" si="30">C44/20160</f>
        <v>0.47628968253968251</v>
      </c>
      <c r="O44" s="3"/>
      <c r="P44" s="396">
        <f>P43/$U43</f>
        <v>0.25964912280701752</v>
      </c>
      <c r="Q44" s="396">
        <f t="shared" ref="Q44:T44" si="31">Q43/$U43</f>
        <v>0.14736842105263157</v>
      </c>
      <c r="R44" s="396">
        <f t="shared" si="31"/>
        <v>0.15087719298245614</v>
      </c>
      <c r="S44" s="396">
        <f t="shared" si="31"/>
        <v>0.14736842105263157</v>
      </c>
      <c r="T44" s="396">
        <f t="shared" si="31"/>
        <v>0.29473684210526313</v>
      </c>
      <c r="U44" s="191"/>
      <c r="Y44">
        <v>6</v>
      </c>
      <c r="Z44">
        <v>9.5500000000000007</v>
      </c>
      <c r="AA44">
        <v>64.33</v>
      </c>
    </row>
    <row r="45" spans="1:27" ht="15.75" thickBot="1">
      <c r="A45" s="460" t="s">
        <v>27</v>
      </c>
      <c r="B45" s="462">
        <v>8531</v>
      </c>
      <c r="C45" s="462">
        <v>12099</v>
      </c>
      <c r="D45" s="183">
        <f t="shared" si="29"/>
        <v>0.42316468253968254</v>
      </c>
      <c r="E45" s="183">
        <f t="shared" si="30"/>
        <v>0.60014880952380956</v>
      </c>
      <c r="O45" s="3">
        <v>2</v>
      </c>
      <c r="P45" s="83">
        <v>56</v>
      </c>
      <c r="Q45" s="83">
        <v>42</v>
      </c>
      <c r="R45" s="83">
        <v>35</v>
      </c>
      <c r="S45" s="83">
        <v>48</v>
      </c>
      <c r="T45" s="83">
        <v>111</v>
      </c>
      <c r="U45" s="191">
        <v>292</v>
      </c>
      <c r="Y45">
        <v>7</v>
      </c>
      <c r="Z45">
        <v>10.62</v>
      </c>
      <c r="AA45">
        <v>74.95</v>
      </c>
    </row>
    <row r="46" spans="1:27" ht="33" thickBot="1">
      <c r="A46" s="460" t="s">
        <v>289</v>
      </c>
      <c r="B46" s="462">
        <v>13744</v>
      </c>
      <c r="C46" s="462">
        <v>17614</v>
      </c>
      <c r="D46" s="183">
        <f t="shared" si="29"/>
        <v>0.68174603174603177</v>
      </c>
      <c r="E46" s="183">
        <f t="shared" si="30"/>
        <v>0.87371031746031746</v>
      </c>
      <c r="O46" s="3"/>
      <c r="P46" s="396">
        <f>P45/$U45</f>
        <v>0.19178082191780821</v>
      </c>
      <c r="Q46" s="396">
        <f t="shared" ref="Q46:T46" si="32">Q45/$U45</f>
        <v>0.14383561643835616</v>
      </c>
      <c r="R46" s="396">
        <f t="shared" si="32"/>
        <v>0.11986301369863013</v>
      </c>
      <c r="S46" s="396">
        <f t="shared" si="32"/>
        <v>0.16438356164383561</v>
      </c>
      <c r="T46" s="396">
        <f t="shared" si="32"/>
        <v>0.38013698630136988</v>
      </c>
      <c r="U46" s="191"/>
      <c r="Y46">
        <v>8</v>
      </c>
      <c r="Z46">
        <v>9.52</v>
      </c>
      <c r="AA46">
        <v>84.47</v>
      </c>
    </row>
    <row r="47" spans="1:27">
      <c r="A47" s="463" t="s">
        <v>290</v>
      </c>
      <c r="O47" s="3">
        <v>3</v>
      </c>
      <c r="P47" s="83">
        <v>41</v>
      </c>
      <c r="Q47" s="83">
        <v>32</v>
      </c>
      <c r="R47" s="83">
        <v>30</v>
      </c>
      <c r="S47" s="83">
        <v>53</v>
      </c>
      <c r="T47" s="83">
        <v>112</v>
      </c>
      <c r="U47" s="191">
        <v>268</v>
      </c>
      <c r="Y47">
        <v>9</v>
      </c>
      <c r="Z47">
        <v>15.53</v>
      </c>
      <c r="AA47">
        <v>100</v>
      </c>
    </row>
    <row r="48" spans="1:27">
      <c r="O48" s="3"/>
      <c r="P48" s="396">
        <f>P47/$U47</f>
        <v>0.15298507462686567</v>
      </c>
      <c r="Q48" s="396">
        <f t="shared" ref="Q48:T48" si="33">Q47/$U47</f>
        <v>0.11940298507462686</v>
      </c>
      <c r="R48" s="396">
        <f t="shared" si="33"/>
        <v>0.11194029850746269</v>
      </c>
      <c r="S48" s="396">
        <f t="shared" si="33"/>
        <v>0.19776119402985073</v>
      </c>
      <c r="T48" s="396">
        <f t="shared" si="33"/>
        <v>0.41791044776119401</v>
      </c>
      <c r="U48" s="191"/>
    </row>
    <row r="49" spans="15:27">
      <c r="O49" s="3">
        <v>4</v>
      </c>
      <c r="P49" s="83">
        <v>25</v>
      </c>
      <c r="Q49" s="83">
        <v>32</v>
      </c>
      <c r="R49" s="83">
        <v>35</v>
      </c>
      <c r="S49" s="83">
        <v>50</v>
      </c>
      <c r="T49" s="83">
        <v>202</v>
      </c>
      <c r="U49" s="191">
        <v>344</v>
      </c>
      <c r="Y49" t="s">
        <v>267</v>
      </c>
      <c r="Z49" s="176">
        <v>22505</v>
      </c>
      <c r="AA49">
        <v>100</v>
      </c>
    </row>
    <row r="50" spans="15:27">
      <c r="O50" s="3"/>
      <c r="P50" s="396">
        <f>P49/$U49</f>
        <v>7.2674418604651167E-2</v>
      </c>
      <c r="Q50" s="396">
        <f t="shared" ref="Q50:T50" si="34">Q49/$U49</f>
        <v>9.3023255813953487E-2</v>
      </c>
      <c r="R50" s="396">
        <f t="shared" si="34"/>
        <v>0.10174418604651163</v>
      </c>
      <c r="S50" s="396">
        <f t="shared" si="34"/>
        <v>0.14534883720930233</v>
      </c>
      <c r="T50" s="396">
        <f t="shared" si="34"/>
        <v>0.58720930232558144</v>
      </c>
      <c r="U50" s="191"/>
    </row>
    <row r="51" spans="15:27" ht="15.75" thickBot="1">
      <c r="O51" s="4" t="s">
        <v>267</v>
      </c>
      <c r="P51" s="193">
        <v>711</v>
      </c>
      <c r="Q51" s="193">
        <v>250</v>
      </c>
      <c r="R51" s="193">
        <v>235</v>
      </c>
      <c r="S51" s="193">
        <v>269</v>
      </c>
      <c r="T51" s="193">
        <v>579</v>
      </c>
      <c r="U51" s="194">
        <v>2044</v>
      </c>
    </row>
    <row r="52" spans="15:27" ht="15.75" thickBot="1"/>
    <row r="53" spans="15:27">
      <c r="O53" s="657" t="s">
        <v>291</v>
      </c>
      <c r="P53" s="658"/>
      <c r="Q53" s="658"/>
      <c r="R53" s="658"/>
      <c r="S53" s="658"/>
      <c r="T53" s="658"/>
      <c r="U53" s="659"/>
    </row>
    <row r="54" spans="15:27">
      <c r="O54" s="3"/>
      <c r="P54" s="656" t="s">
        <v>261</v>
      </c>
      <c r="Q54" s="656"/>
      <c r="R54" s="656"/>
      <c r="S54" s="656"/>
      <c r="T54" s="656"/>
      <c r="U54" s="191" t="s">
        <v>267</v>
      </c>
    </row>
    <row r="55" spans="15:27" ht="30">
      <c r="O55" s="387" t="s">
        <v>268</v>
      </c>
      <c r="P55" s="83">
        <v>0</v>
      </c>
      <c r="Q55" s="83">
        <v>1</v>
      </c>
      <c r="R55" s="83">
        <v>2</v>
      </c>
      <c r="S55" s="83">
        <v>3</v>
      </c>
      <c r="T55" s="83">
        <v>4</v>
      </c>
      <c r="U55" s="191"/>
    </row>
    <row r="56" spans="15:27">
      <c r="O56" s="3">
        <v>0</v>
      </c>
      <c r="P56" s="83">
        <v>371</v>
      </c>
      <c r="Q56" s="83">
        <v>61</v>
      </c>
      <c r="R56" s="83">
        <v>63</v>
      </c>
      <c r="S56" s="83">
        <v>48</v>
      </c>
      <c r="T56" s="83">
        <v>153</v>
      </c>
      <c r="U56" s="191">
        <v>696</v>
      </c>
    </row>
    <row r="57" spans="15:27">
      <c r="O57" s="3"/>
      <c r="P57" s="396">
        <f>P56/$U56</f>
        <v>0.53304597701149425</v>
      </c>
      <c r="Q57" s="396">
        <f t="shared" ref="Q57:T57" si="35">Q56/$U56</f>
        <v>8.7643678160919544E-2</v>
      </c>
      <c r="R57" s="396">
        <f t="shared" si="35"/>
        <v>9.0517241379310345E-2</v>
      </c>
      <c r="S57" s="396">
        <f t="shared" si="35"/>
        <v>6.8965517241379309E-2</v>
      </c>
      <c r="T57" s="396">
        <f t="shared" si="35"/>
        <v>0.21982758620689655</v>
      </c>
      <c r="U57" s="191"/>
    </row>
    <row r="58" spans="15:27">
      <c r="O58" s="3">
        <v>1</v>
      </c>
      <c r="P58" s="83">
        <v>86</v>
      </c>
      <c r="Q58" s="83">
        <v>35</v>
      </c>
      <c r="R58" s="83">
        <v>38</v>
      </c>
      <c r="S58" s="83">
        <v>55</v>
      </c>
      <c r="T58" s="83">
        <v>207</v>
      </c>
      <c r="U58" s="191">
        <v>421</v>
      </c>
    </row>
    <row r="59" spans="15:27">
      <c r="O59" s="3"/>
      <c r="P59" s="396">
        <f>P58/$U58</f>
        <v>0.20427553444180521</v>
      </c>
      <c r="Q59" s="396">
        <f t="shared" ref="Q59:T59" si="36">Q58/$U58</f>
        <v>8.3135391923990498E-2</v>
      </c>
      <c r="R59" s="396">
        <f t="shared" si="36"/>
        <v>9.0261282660332537E-2</v>
      </c>
      <c r="S59" s="396">
        <f t="shared" si="36"/>
        <v>0.13064133016627077</v>
      </c>
      <c r="T59" s="396">
        <f t="shared" si="36"/>
        <v>0.49168646080760092</v>
      </c>
      <c r="U59" s="191"/>
    </row>
    <row r="60" spans="15:27">
      <c r="O60" s="3">
        <v>2</v>
      </c>
      <c r="P60" s="83">
        <v>126</v>
      </c>
      <c r="Q60" s="83">
        <v>71</v>
      </c>
      <c r="R60" s="83">
        <v>71</v>
      </c>
      <c r="S60" s="83">
        <v>92</v>
      </c>
      <c r="T60" s="83">
        <v>579</v>
      </c>
      <c r="U60" s="191">
        <v>939</v>
      </c>
    </row>
    <row r="61" spans="15:27">
      <c r="O61" s="3"/>
      <c r="P61" s="396">
        <f>P60/$U60</f>
        <v>0.13418530351437699</v>
      </c>
      <c r="Q61" s="396">
        <f t="shared" ref="Q61:T61" si="37">Q60/$U60</f>
        <v>7.5612353567625135E-2</v>
      </c>
      <c r="R61" s="396">
        <f t="shared" si="37"/>
        <v>7.5612353567625135E-2</v>
      </c>
      <c r="S61" s="396">
        <f t="shared" si="37"/>
        <v>9.79765708200213E-2</v>
      </c>
      <c r="T61" s="396">
        <f t="shared" si="37"/>
        <v>0.61661341853035145</v>
      </c>
      <c r="U61" s="191"/>
    </row>
    <row r="62" spans="15:27">
      <c r="O62" s="3">
        <v>3</v>
      </c>
      <c r="P62" s="83">
        <v>115</v>
      </c>
      <c r="Q62" s="83">
        <v>59</v>
      </c>
      <c r="R62" s="83">
        <v>67</v>
      </c>
      <c r="S62" s="83">
        <v>81</v>
      </c>
      <c r="T62" s="83">
        <v>463</v>
      </c>
      <c r="U62" s="191">
        <v>785</v>
      </c>
    </row>
    <row r="63" spans="15:27">
      <c r="O63" s="3"/>
      <c r="P63" s="396">
        <f>P62/$U62</f>
        <v>0.1464968152866242</v>
      </c>
      <c r="Q63" s="396">
        <f t="shared" ref="Q63:T63" si="38">Q62/$U62</f>
        <v>7.5159235668789806E-2</v>
      </c>
      <c r="R63" s="396">
        <f t="shared" si="38"/>
        <v>8.5350318471337575E-2</v>
      </c>
      <c r="S63" s="396">
        <f t="shared" si="38"/>
        <v>0.10318471337579618</v>
      </c>
      <c r="T63" s="396">
        <f t="shared" si="38"/>
        <v>0.58980891719745221</v>
      </c>
      <c r="U63" s="191"/>
    </row>
    <row r="64" spans="15:27">
      <c r="O64" s="3">
        <v>4</v>
      </c>
      <c r="P64" s="83">
        <v>122</v>
      </c>
      <c r="Q64" s="83">
        <v>77</v>
      </c>
      <c r="R64" s="83">
        <v>116</v>
      </c>
      <c r="S64" s="83">
        <v>181</v>
      </c>
      <c r="T64" s="189">
        <v>1420</v>
      </c>
      <c r="U64" s="190">
        <v>1916</v>
      </c>
    </row>
    <row r="65" spans="15:21">
      <c r="O65" s="3"/>
      <c r="P65" s="396">
        <f>P64/$U64</f>
        <v>6.3674321503131528E-2</v>
      </c>
      <c r="Q65" s="396">
        <f t="shared" ref="Q65:T65" si="39">Q64/$U64</f>
        <v>4.0187891440501042E-2</v>
      </c>
      <c r="R65" s="396">
        <f t="shared" si="39"/>
        <v>6.0542797494780795E-2</v>
      </c>
      <c r="S65" s="396">
        <f t="shared" si="39"/>
        <v>9.446764091858037E-2</v>
      </c>
      <c r="T65" s="396">
        <f t="shared" si="39"/>
        <v>0.74112734864300622</v>
      </c>
      <c r="U65" s="191"/>
    </row>
    <row r="66" spans="15:21" ht="15.75" thickBot="1">
      <c r="O66" s="4" t="s">
        <v>267</v>
      </c>
      <c r="P66" s="193">
        <v>820</v>
      </c>
      <c r="Q66" s="193">
        <v>303</v>
      </c>
      <c r="R66" s="193">
        <v>355</v>
      </c>
      <c r="S66" s="193">
        <v>457</v>
      </c>
      <c r="T66" s="192">
        <v>2822</v>
      </c>
      <c r="U66" s="194">
        <v>4757</v>
      </c>
    </row>
    <row r="67" spans="15:21" ht="15.75" thickBot="1"/>
    <row r="68" spans="15:21">
      <c r="O68" s="657" t="s">
        <v>291</v>
      </c>
      <c r="P68" s="658"/>
      <c r="Q68" s="658"/>
      <c r="R68" s="658"/>
      <c r="S68" s="658"/>
      <c r="T68" s="658"/>
      <c r="U68" s="659"/>
    </row>
    <row r="69" spans="15:21">
      <c r="O69" s="3"/>
      <c r="P69" s="656" t="s">
        <v>261</v>
      </c>
      <c r="Q69" s="656"/>
      <c r="R69" s="656"/>
      <c r="S69" s="656"/>
      <c r="T69" s="656"/>
      <c r="U69" s="191" t="s">
        <v>267</v>
      </c>
    </row>
    <row r="70" spans="15:21" ht="30">
      <c r="O70" s="387" t="s">
        <v>268</v>
      </c>
      <c r="P70" s="83">
        <v>0</v>
      </c>
      <c r="Q70" s="83">
        <v>1</v>
      </c>
      <c r="R70" s="83">
        <v>2</v>
      </c>
      <c r="S70" s="83">
        <v>3</v>
      </c>
      <c r="T70" s="83">
        <v>4</v>
      </c>
      <c r="U70" s="191"/>
    </row>
    <row r="71" spans="15:21">
      <c r="O71" s="3">
        <v>0</v>
      </c>
      <c r="P71" s="189">
        <v>1748</v>
      </c>
      <c r="Q71" s="83">
        <v>266</v>
      </c>
      <c r="R71" s="83">
        <v>258</v>
      </c>
      <c r="S71" s="83">
        <v>208</v>
      </c>
      <c r="T71" s="83">
        <v>444</v>
      </c>
      <c r="U71" s="190">
        <v>2924</v>
      </c>
    </row>
    <row r="72" spans="15:21">
      <c r="O72" s="471"/>
      <c r="P72" s="396">
        <f t="shared" ref="P72:T80" si="40">P71/$U71</f>
        <v>0.5978112175102599</v>
      </c>
      <c r="Q72" s="396">
        <f t="shared" si="40"/>
        <v>9.0971272229822167E-2</v>
      </c>
      <c r="R72" s="396">
        <f t="shared" si="40"/>
        <v>8.8235294117647065E-2</v>
      </c>
      <c r="S72" s="396">
        <f t="shared" si="40"/>
        <v>7.1135430916552667E-2</v>
      </c>
      <c r="T72" s="396">
        <f t="shared" si="40"/>
        <v>0.15184678522571821</v>
      </c>
      <c r="U72" s="472"/>
    </row>
    <row r="73" spans="15:21">
      <c r="O73" s="3">
        <v>1</v>
      </c>
      <c r="P73" s="83">
        <v>508</v>
      </c>
      <c r="Q73" s="83">
        <v>147</v>
      </c>
      <c r="R73" s="83">
        <v>183</v>
      </c>
      <c r="S73" s="83">
        <v>174</v>
      </c>
      <c r="T73" s="83">
        <v>546</v>
      </c>
      <c r="U73" s="190">
        <v>1558</v>
      </c>
    </row>
    <row r="74" spans="15:21">
      <c r="O74" s="3"/>
      <c r="P74" s="396">
        <f t="shared" si="40"/>
        <v>0.32605905006418484</v>
      </c>
      <c r="Q74" s="396">
        <f t="shared" ref="Q74" si="41">Q73/$U73</f>
        <v>9.4351732991014126E-2</v>
      </c>
      <c r="R74" s="396">
        <f t="shared" ref="R74" si="42">R73/$U73</f>
        <v>0.11745827984595636</v>
      </c>
      <c r="S74" s="396">
        <f t="shared" ref="S74" si="43">S73/$U73</f>
        <v>0.1116816431322208</v>
      </c>
      <c r="T74" s="396">
        <f t="shared" ref="T74" si="44">T73/$U73</f>
        <v>0.35044929396662389</v>
      </c>
      <c r="U74" s="190"/>
    </row>
    <row r="75" spans="15:21">
      <c r="O75" s="3">
        <v>2</v>
      </c>
      <c r="P75" s="83">
        <v>383</v>
      </c>
      <c r="Q75" s="83">
        <v>166</v>
      </c>
      <c r="R75" s="83">
        <v>188</v>
      </c>
      <c r="S75" s="83">
        <v>160</v>
      </c>
      <c r="T75" s="83">
        <v>574</v>
      </c>
      <c r="U75" s="190">
        <v>1471</v>
      </c>
    </row>
    <row r="76" spans="15:21">
      <c r="O76" s="3"/>
      <c r="P76" s="396">
        <f t="shared" si="40"/>
        <v>0.2603670972127804</v>
      </c>
      <c r="Q76" s="396">
        <f t="shared" ref="Q76" si="45">Q75/$U75</f>
        <v>0.11284840244731476</v>
      </c>
      <c r="R76" s="396">
        <f t="shared" ref="R76" si="46">R75/$U75</f>
        <v>0.12780421481985044</v>
      </c>
      <c r="S76" s="396">
        <f t="shared" ref="S76" si="47">S75/$U75</f>
        <v>0.10876954452753229</v>
      </c>
      <c r="T76" s="396">
        <f t="shared" ref="T76" si="48">T75/$U75</f>
        <v>0.39021074099252212</v>
      </c>
      <c r="U76" s="190"/>
    </row>
    <row r="77" spans="15:21">
      <c r="O77" s="3">
        <v>3</v>
      </c>
      <c r="P77" s="83">
        <v>257</v>
      </c>
      <c r="Q77" s="83">
        <v>133</v>
      </c>
      <c r="R77" s="83">
        <v>154</v>
      </c>
      <c r="S77" s="83">
        <v>212</v>
      </c>
      <c r="T77" s="83">
        <v>632</v>
      </c>
      <c r="U77" s="190">
        <v>1388</v>
      </c>
    </row>
    <row r="78" spans="15:21">
      <c r="O78" s="3"/>
      <c r="P78" s="396">
        <f t="shared" si="40"/>
        <v>0.18515850144092219</v>
      </c>
      <c r="Q78" s="396">
        <f t="shared" ref="Q78" si="49">Q77/$U77</f>
        <v>9.5821325648414987E-2</v>
      </c>
      <c r="R78" s="396">
        <f t="shared" ref="R78" si="50">R77/$U77</f>
        <v>0.11095100864553314</v>
      </c>
      <c r="S78" s="396">
        <f t="shared" ref="S78" si="51">S77/$U77</f>
        <v>0.15273775216138327</v>
      </c>
      <c r="T78" s="396">
        <f t="shared" ref="T78" si="52">T77/$U77</f>
        <v>0.45533141210374639</v>
      </c>
      <c r="U78" s="190"/>
    </row>
    <row r="79" spans="15:21">
      <c r="O79" s="3">
        <v>4</v>
      </c>
      <c r="P79" s="83">
        <v>271</v>
      </c>
      <c r="Q79" s="83">
        <v>113</v>
      </c>
      <c r="R79" s="83">
        <v>197</v>
      </c>
      <c r="S79" s="83">
        <v>298</v>
      </c>
      <c r="T79" s="189">
        <v>1394</v>
      </c>
      <c r="U79" s="190">
        <v>2273</v>
      </c>
    </row>
    <row r="80" spans="15:21">
      <c r="O80" s="3"/>
      <c r="P80" s="396">
        <f t="shared" si="40"/>
        <v>0.11922569291684998</v>
      </c>
      <c r="Q80" s="396">
        <f t="shared" ref="Q80" si="53">Q79/$U79</f>
        <v>4.9714034315882095E-2</v>
      </c>
      <c r="R80" s="396">
        <f t="shared" ref="R80" si="54">R79/$U79</f>
        <v>8.6669599648042231E-2</v>
      </c>
      <c r="S80" s="396">
        <f t="shared" ref="S80" si="55">S79/$U79</f>
        <v>0.13110426748790144</v>
      </c>
      <c r="T80" s="396">
        <f t="shared" ref="T80" si="56">T79/$U79</f>
        <v>0.61328640563132419</v>
      </c>
      <c r="U80" s="191"/>
    </row>
    <row r="81" spans="15:21" ht="15.75" thickBot="1">
      <c r="O81" s="4" t="s">
        <v>267</v>
      </c>
      <c r="P81" s="192">
        <v>3167</v>
      </c>
      <c r="Q81" s="193">
        <v>825</v>
      </c>
      <c r="R81" s="193">
        <v>980</v>
      </c>
      <c r="S81" s="192">
        <v>1052</v>
      </c>
      <c r="T81" s="192">
        <v>3590</v>
      </c>
      <c r="U81" s="194">
        <v>9614</v>
      </c>
    </row>
  </sheetData>
  <mergeCells count="29">
    <mergeCell ref="A1:E1"/>
    <mergeCell ref="A19:E19"/>
    <mergeCell ref="G23:G24"/>
    <mergeCell ref="G25:G26"/>
    <mergeCell ref="G27:G28"/>
    <mergeCell ref="H20:L20"/>
    <mergeCell ref="P20:T20"/>
    <mergeCell ref="G1:M1"/>
    <mergeCell ref="O1:U1"/>
    <mergeCell ref="H2:L2"/>
    <mergeCell ref="P2:T2"/>
    <mergeCell ref="G5:G6"/>
    <mergeCell ref="G7:G8"/>
    <mergeCell ref="G9:G10"/>
    <mergeCell ref="G11:G12"/>
    <mergeCell ref="G13:G14"/>
    <mergeCell ref="G19:M19"/>
    <mergeCell ref="O19:U19"/>
    <mergeCell ref="A39:C39"/>
    <mergeCell ref="A40:C40"/>
    <mergeCell ref="A41:A42"/>
    <mergeCell ref="G29:G30"/>
    <mergeCell ref="G31:G32"/>
    <mergeCell ref="P69:T69"/>
    <mergeCell ref="O38:U38"/>
    <mergeCell ref="P39:T39"/>
    <mergeCell ref="O53:U53"/>
    <mergeCell ref="P54:T54"/>
    <mergeCell ref="O68:U68"/>
  </mergeCells>
  <phoneticPr fontId="33" type="noConversion"/>
  <pageMargins left="0.7" right="0.7" top="0.75" bottom="0.75" header="0.3" footer="0.3"/>
  <pageSetup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F0"/>
  </sheetPr>
  <dimension ref="A1:R37"/>
  <sheetViews>
    <sheetView workbookViewId="0">
      <selection activeCell="B20" sqref="B20"/>
    </sheetView>
  </sheetViews>
  <sheetFormatPr defaultRowHeight="15"/>
  <cols>
    <col min="1" max="1" width="13.85546875" customWidth="1"/>
    <col min="2" max="2" width="15.85546875" customWidth="1"/>
    <col min="3" max="3" width="11.42578125" customWidth="1"/>
    <col min="4" max="4" width="13.7109375" customWidth="1"/>
    <col min="5" max="5" width="14.28515625" bestFit="1" customWidth="1"/>
    <col min="6" max="6" width="13" customWidth="1"/>
    <col min="11" max="11" width="14.7109375" customWidth="1"/>
    <col min="12" max="16" width="11.28515625" customWidth="1"/>
  </cols>
  <sheetData>
    <row r="1" spans="1:18">
      <c r="B1" t="s">
        <v>292</v>
      </c>
      <c r="C1" t="s">
        <v>45</v>
      </c>
      <c r="D1" t="s">
        <v>231</v>
      </c>
      <c r="E1" t="s">
        <v>293</v>
      </c>
      <c r="F1" t="s">
        <v>233</v>
      </c>
      <c r="K1" s="2" t="s">
        <v>153</v>
      </c>
      <c r="L1" s="2" t="s">
        <v>294</v>
      </c>
      <c r="M1" s="2" t="s">
        <v>45</v>
      </c>
      <c r="N1" s="2" t="s">
        <v>46</v>
      </c>
      <c r="O1" s="2" t="s">
        <v>295</v>
      </c>
      <c r="P1" s="2" t="s">
        <v>48</v>
      </c>
      <c r="Q1" s="2" t="s">
        <v>296</v>
      </c>
    </row>
    <row r="2" spans="1:18" ht="60">
      <c r="A2" s="158" t="s">
        <v>234</v>
      </c>
      <c r="B2" s="532">
        <v>3850.4810000000002</v>
      </c>
      <c r="C2" s="532">
        <v>5334.4040000000005</v>
      </c>
      <c r="D2" s="532">
        <v>6666.1289999999999</v>
      </c>
      <c r="E2" s="532">
        <v>7581.82</v>
      </c>
      <c r="F2" s="535">
        <v>8426.7250000000004</v>
      </c>
      <c r="K2" t="s">
        <v>297</v>
      </c>
      <c r="L2" s="532">
        <f>'Tables in Peter''s Paper_Pct Chg'!R96</f>
        <v>2226.212</v>
      </c>
      <c r="M2" s="532">
        <f>'Tables in Peter''s Paper_Pct Chg'!S96</f>
        <v>3760.0929999999998</v>
      </c>
      <c r="N2" s="532">
        <f>'Tables in Peter''s Paper_Pct Chg'!T96</f>
        <v>3824.424</v>
      </c>
      <c r="O2" s="532">
        <f>'Tables in Peter''s Paper_Pct Chg'!U96</f>
        <v>3958.1669999999999</v>
      </c>
      <c r="P2" s="532">
        <f>'Tables in Peter''s Paper_Pct Chg'!V96</f>
        <v>3640.0070000000001</v>
      </c>
      <c r="Q2" s="473">
        <f>P2/20160</f>
        <v>0.18055590277777778</v>
      </c>
      <c r="R2" s="132">
        <f>P2-M2</f>
        <v>-120.08599999999979</v>
      </c>
    </row>
    <row r="3" spans="1:18">
      <c r="A3" s="158"/>
      <c r="B3" s="108">
        <f>B2*6090</f>
        <v>23449429.290000003</v>
      </c>
      <c r="C3" s="108">
        <f t="shared" ref="C3:F3" si="0">C2*6090</f>
        <v>32486520.360000003</v>
      </c>
      <c r="D3" s="108">
        <f t="shared" si="0"/>
        <v>40596725.609999999</v>
      </c>
      <c r="E3" s="108">
        <f t="shared" si="0"/>
        <v>46173283.799999997</v>
      </c>
      <c r="F3" s="108">
        <f t="shared" si="0"/>
        <v>51318755.25</v>
      </c>
      <c r="K3" t="s">
        <v>122</v>
      </c>
      <c r="L3" s="532">
        <f>'Tables in Peter''s Paper_Pct Chg'!D96</f>
        <v>833.08870000000002</v>
      </c>
      <c r="M3" s="532">
        <f>'Tables in Peter''s Paper_Pct Chg'!E96</f>
        <v>1601.2329999999999</v>
      </c>
      <c r="N3" s="532">
        <f>'Tables in Peter''s Paper_Pct Chg'!F96</f>
        <v>2133.5030000000002</v>
      </c>
      <c r="O3" s="532">
        <f>'Tables in Peter''s Paper_Pct Chg'!G96</f>
        <v>2402.2049999999999</v>
      </c>
      <c r="P3" s="532">
        <f>'Tables in Peter''s Paper_Pct Chg'!H96</f>
        <v>2174.973</v>
      </c>
      <c r="Q3" s="473">
        <f t="shared" ref="Q3:Q4" si="1">P3/20160</f>
        <v>0.10788556547619048</v>
      </c>
      <c r="R3" s="132">
        <f t="shared" ref="R3:R4" si="2">P3-M3</f>
        <v>573.74</v>
      </c>
    </row>
    <row r="4" spans="1:18">
      <c r="K4" t="s">
        <v>134</v>
      </c>
      <c r="L4" s="532">
        <f>B30</f>
        <v>275.28969999999998</v>
      </c>
      <c r="M4" s="532">
        <f t="shared" ref="M4:P4" si="3">C30</f>
        <v>1378.202</v>
      </c>
      <c r="N4" s="532">
        <f t="shared" si="3"/>
        <v>1429.6869999999999</v>
      </c>
      <c r="O4" s="532">
        <f t="shared" si="3"/>
        <v>2306.6039999999998</v>
      </c>
      <c r="P4" s="532">
        <f t="shared" si="3"/>
        <v>1369.548</v>
      </c>
      <c r="Q4" s="473">
        <f t="shared" si="1"/>
        <v>6.7933928571428576E-2</v>
      </c>
      <c r="R4" s="132">
        <f t="shared" si="2"/>
        <v>-8.6539999999999964</v>
      </c>
    </row>
    <row r="5" spans="1:18">
      <c r="K5" t="s">
        <v>298</v>
      </c>
      <c r="L5" s="532">
        <v>10160</v>
      </c>
      <c r="M5" s="532">
        <v>10160</v>
      </c>
      <c r="N5" s="532">
        <v>10160</v>
      </c>
      <c r="O5" s="532">
        <v>10160</v>
      </c>
      <c r="P5" s="532">
        <v>10160</v>
      </c>
      <c r="Q5" s="473"/>
      <c r="R5" s="132"/>
    </row>
    <row r="6" spans="1:18">
      <c r="L6" s="473">
        <f>L4/20160</f>
        <v>1.3655243055555554E-2</v>
      </c>
      <c r="M6" s="473">
        <f t="shared" ref="M6:P6" si="4">M4/20160</f>
        <v>6.8363194444444442E-2</v>
      </c>
      <c r="N6" s="473">
        <f t="shared" si="4"/>
        <v>7.091701388888888E-2</v>
      </c>
      <c r="O6" s="473">
        <f t="shared" si="4"/>
        <v>0.11441488095238095</v>
      </c>
      <c r="P6" s="473">
        <f t="shared" si="4"/>
        <v>6.7933928571428576E-2</v>
      </c>
    </row>
    <row r="7" spans="1:18">
      <c r="B7" t="s">
        <v>292</v>
      </c>
      <c r="C7" t="s">
        <v>45</v>
      </c>
      <c r="D7" t="s">
        <v>231</v>
      </c>
      <c r="E7" t="s">
        <v>293</v>
      </c>
      <c r="F7" t="s">
        <v>233</v>
      </c>
    </row>
    <row r="8" spans="1:18">
      <c r="A8" t="s">
        <v>235</v>
      </c>
      <c r="B8" s="167">
        <v>23449429.290000003</v>
      </c>
      <c r="C8" s="167">
        <v>32486520.360000003</v>
      </c>
      <c r="D8" s="167">
        <v>40596725.609999999</v>
      </c>
      <c r="E8" s="167">
        <v>46173283.799999997</v>
      </c>
      <c r="F8" s="167">
        <v>51318755.25</v>
      </c>
    </row>
    <row r="9" spans="1:18">
      <c r="A9" t="s">
        <v>236</v>
      </c>
      <c r="B9" s="167">
        <v>19500000</v>
      </c>
      <c r="C9" s="167">
        <v>39800000</v>
      </c>
      <c r="D9" s="167">
        <v>48000000</v>
      </c>
      <c r="E9" s="167">
        <v>52200000</v>
      </c>
      <c r="F9" s="167">
        <v>67600000</v>
      </c>
    </row>
    <row r="23" spans="1:9">
      <c r="G23">
        <f>20160/2</f>
        <v>10080</v>
      </c>
    </row>
    <row r="27" spans="1:9">
      <c r="A27" t="s">
        <v>299</v>
      </c>
      <c r="I27">
        <f>1311+1849</f>
        <v>3160</v>
      </c>
    </row>
    <row r="28" spans="1:9">
      <c r="A28" s="497" t="s">
        <v>300</v>
      </c>
      <c r="B28" s="497" t="s">
        <v>230</v>
      </c>
      <c r="C28" s="497" t="s">
        <v>301</v>
      </c>
      <c r="D28" s="497" t="s">
        <v>302</v>
      </c>
      <c r="E28" s="497" t="s">
        <v>303</v>
      </c>
      <c r="F28" s="497" t="s">
        <v>304</v>
      </c>
    </row>
    <row r="29" spans="1:9">
      <c r="A29" s="498"/>
      <c r="B29" s="498"/>
      <c r="C29" s="498"/>
      <c r="D29" s="499"/>
      <c r="E29" s="499"/>
      <c r="F29" s="500"/>
    </row>
    <row r="30" spans="1:9">
      <c r="A30" s="497" t="s">
        <v>305</v>
      </c>
      <c r="B30" s="497">
        <v>275.28969999999998</v>
      </c>
      <c r="C30" s="497">
        <v>1378.202</v>
      </c>
      <c r="D30" s="497">
        <v>1429.6869999999999</v>
      </c>
      <c r="E30" s="497">
        <v>2306.6039999999998</v>
      </c>
      <c r="F30" s="497">
        <v>1369.548</v>
      </c>
    </row>
    <row r="32" spans="1:9">
      <c r="A32" s="410" t="s">
        <v>306</v>
      </c>
    </row>
    <row r="33" spans="1:6">
      <c r="A33" s="497" t="s">
        <v>300</v>
      </c>
      <c r="B33" s="497" t="s">
        <v>230</v>
      </c>
      <c r="C33" s="497" t="s">
        <v>301</v>
      </c>
      <c r="D33" s="497" t="s">
        <v>302</v>
      </c>
      <c r="E33" s="497" t="s">
        <v>303</v>
      </c>
      <c r="F33" s="497" t="s">
        <v>304</v>
      </c>
    </row>
    <row r="34" spans="1:6">
      <c r="A34" s="498"/>
      <c r="B34" s="498"/>
      <c r="C34" s="498"/>
      <c r="D34" s="499"/>
      <c r="E34" s="499"/>
      <c r="F34" s="500"/>
    </row>
    <row r="35" spans="1:6">
      <c r="A35" s="497" t="s">
        <v>305</v>
      </c>
      <c r="B35" s="497">
        <v>3153.78</v>
      </c>
      <c r="C35" s="497">
        <v>4684.2290000000003</v>
      </c>
      <c r="D35" s="497">
        <v>6572.8140000000003</v>
      </c>
      <c r="E35" s="497">
        <v>6346.0649999999996</v>
      </c>
      <c r="F35" s="497">
        <v>7212.9650000000001</v>
      </c>
    </row>
    <row r="36" spans="1:6">
      <c r="A36" s="498"/>
      <c r="B36" s="498"/>
      <c r="C36" s="498"/>
      <c r="D36" s="501"/>
      <c r="E36" s="501"/>
      <c r="F36" s="502"/>
    </row>
    <row r="37" spans="1:6">
      <c r="A37" s="410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N5" sqref="N5"/>
    </sheetView>
  </sheetViews>
  <sheetFormatPr defaultColWidth="8.85546875" defaultRowHeight="15.75"/>
  <cols>
    <col min="1" max="1" width="22.7109375" style="559" customWidth="1"/>
    <col min="2" max="2" width="8.85546875" style="559"/>
    <col min="3" max="3" width="25.28515625" style="559" bestFit="1" customWidth="1"/>
    <col min="4" max="4" width="8.85546875" style="559"/>
    <col min="5" max="9" width="14.7109375" style="559" customWidth="1"/>
    <col min="10" max="16384" width="8.85546875" style="559"/>
  </cols>
  <sheetData>
    <row r="1" spans="1:9" ht="31.9" customHeight="1" thickBot="1">
      <c r="A1" s="676" t="s">
        <v>650</v>
      </c>
      <c r="B1" s="677"/>
      <c r="C1" s="677"/>
      <c r="D1" s="677"/>
      <c r="E1" s="677"/>
      <c r="F1" s="677"/>
      <c r="G1" s="677"/>
      <c r="H1" s="677"/>
      <c r="I1" s="678"/>
    </row>
    <row r="2" spans="1:9" ht="48" thickBot="1">
      <c r="A2" s="560" t="s">
        <v>41</v>
      </c>
      <c r="B2" s="561" t="s">
        <v>645</v>
      </c>
      <c r="C2" s="561" t="s">
        <v>308</v>
      </c>
      <c r="D2" s="562" t="s">
        <v>309</v>
      </c>
      <c r="E2" s="563" t="s">
        <v>633</v>
      </c>
      <c r="F2" s="563" t="s">
        <v>634</v>
      </c>
      <c r="G2" s="563" t="s">
        <v>635</v>
      </c>
      <c r="H2" s="563" t="s">
        <v>655</v>
      </c>
      <c r="I2" s="564" t="s">
        <v>636</v>
      </c>
    </row>
    <row r="3" spans="1:9" ht="17.25" customHeight="1">
      <c r="A3" s="679" t="s">
        <v>310</v>
      </c>
      <c r="B3" s="682">
        <v>5177</v>
      </c>
      <c r="C3" s="565" t="s">
        <v>647</v>
      </c>
      <c r="D3" s="566">
        <v>0</v>
      </c>
      <c r="E3" s="567">
        <v>0</v>
      </c>
      <c r="F3" s="567">
        <v>0</v>
      </c>
      <c r="G3" s="567">
        <v>0</v>
      </c>
      <c r="H3" s="567">
        <v>0</v>
      </c>
      <c r="I3" s="568">
        <v>0</v>
      </c>
    </row>
    <row r="4" spans="1:9" ht="14.45" customHeight="1">
      <c r="A4" s="680"/>
      <c r="B4" s="683"/>
      <c r="C4" s="565" t="s">
        <v>28</v>
      </c>
      <c r="D4" s="566">
        <v>216.87010000000001</v>
      </c>
      <c r="E4" s="567">
        <v>2226.212</v>
      </c>
      <c r="F4" s="567">
        <v>3760.0929999999998</v>
      </c>
      <c r="G4" s="567">
        <v>3824.424</v>
      </c>
      <c r="H4" s="567">
        <v>3958.1669999999999</v>
      </c>
      <c r="I4" s="568">
        <v>3640.0070000000001</v>
      </c>
    </row>
    <row r="5" spans="1:9" ht="14.45" customHeight="1">
      <c r="A5" s="680"/>
      <c r="B5" s="683"/>
      <c r="C5" s="565" t="s">
        <v>648</v>
      </c>
      <c r="D5" s="566">
        <v>2898.3330000000001</v>
      </c>
      <c r="E5" s="567">
        <v>8155.1440000000002</v>
      </c>
      <c r="F5" s="567">
        <v>12907.16</v>
      </c>
      <c r="G5" s="567">
        <v>14737.77</v>
      </c>
      <c r="H5" s="567">
        <v>16014.65</v>
      </c>
      <c r="I5" s="568">
        <v>17499.060000000001</v>
      </c>
    </row>
    <row r="6" spans="1:9" ht="14.45" customHeight="1">
      <c r="A6" s="680"/>
      <c r="B6" s="683"/>
      <c r="C6" s="565" t="s">
        <v>649</v>
      </c>
      <c r="D6" s="566">
        <v>5167.04</v>
      </c>
      <c r="E6" s="567">
        <v>14922.23</v>
      </c>
      <c r="F6" s="567">
        <v>22031.73</v>
      </c>
      <c r="G6" s="567">
        <v>25092.83</v>
      </c>
      <c r="H6" s="567">
        <v>27116.27</v>
      </c>
      <c r="I6" s="568">
        <v>28837.279999999999</v>
      </c>
    </row>
    <row r="7" spans="1:9" ht="14.45" customHeight="1">
      <c r="A7" s="680"/>
      <c r="B7" s="683"/>
      <c r="C7" s="565" t="s">
        <v>27</v>
      </c>
      <c r="D7" s="566">
        <v>1689.2070000000001</v>
      </c>
      <c r="E7" s="569">
        <v>5341.7979999999998</v>
      </c>
      <c r="F7" s="569">
        <v>8047.732</v>
      </c>
      <c r="G7" s="569">
        <v>8926.1820000000007</v>
      </c>
      <c r="H7" s="569">
        <v>9634.3070000000007</v>
      </c>
      <c r="I7" s="570">
        <v>10180.24</v>
      </c>
    </row>
    <row r="8" spans="1:9" ht="14.45" customHeight="1">
      <c r="A8" s="681"/>
      <c r="B8" s="684"/>
      <c r="C8" s="571" t="s">
        <v>311</v>
      </c>
      <c r="D8" s="572">
        <v>0.53409309999999999</v>
      </c>
      <c r="E8" s="573">
        <v>0.69982619999999995</v>
      </c>
      <c r="F8" s="573">
        <v>0.68978170000000005</v>
      </c>
      <c r="G8" s="573">
        <v>0.66582960000000002</v>
      </c>
      <c r="H8" s="573">
        <v>0.68978170000000005</v>
      </c>
      <c r="I8" s="574">
        <v>0.62796989999999997</v>
      </c>
    </row>
    <row r="9" spans="1:9" ht="31.5">
      <c r="A9" s="685" t="s">
        <v>312</v>
      </c>
      <c r="B9" s="686">
        <v>11991</v>
      </c>
      <c r="C9" s="565" t="s">
        <v>647</v>
      </c>
      <c r="D9" s="566">
        <v>0</v>
      </c>
      <c r="E9" s="569">
        <v>0</v>
      </c>
      <c r="F9" s="569">
        <v>0</v>
      </c>
      <c r="G9" s="569">
        <v>0</v>
      </c>
      <c r="H9" s="569">
        <v>0</v>
      </c>
      <c r="I9" s="687" t="s">
        <v>253</v>
      </c>
    </row>
    <row r="10" spans="1:9">
      <c r="A10" s="680"/>
      <c r="B10" s="683"/>
      <c r="C10" s="565" t="s">
        <v>28</v>
      </c>
      <c r="D10" s="566">
        <v>262.423</v>
      </c>
      <c r="E10" s="569">
        <v>2258.6309999999999</v>
      </c>
      <c r="F10" s="569">
        <v>3714.009</v>
      </c>
      <c r="G10" s="569">
        <v>3895.3969999999999</v>
      </c>
      <c r="H10" s="569">
        <v>4016.9659999999999</v>
      </c>
      <c r="I10" s="688"/>
    </row>
    <row r="11" spans="1:9" ht="31.5">
      <c r="A11" s="680"/>
      <c r="B11" s="683"/>
      <c r="C11" s="565" t="s">
        <v>648</v>
      </c>
      <c r="D11" s="566">
        <v>2849.904</v>
      </c>
      <c r="E11" s="569">
        <v>8121.8029999999999</v>
      </c>
      <c r="F11" s="569">
        <v>13021.58</v>
      </c>
      <c r="G11" s="569">
        <v>14978.7</v>
      </c>
      <c r="H11" s="569">
        <v>16486.490000000002</v>
      </c>
      <c r="I11" s="688"/>
    </row>
    <row r="12" spans="1:9" ht="31.5">
      <c r="A12" s="680"/>
      <c r="B12" s="683"/>
      <c r="C12" s="565" t="s">
        <v>649</v>
      </c>
      <c r="D12" s="566">
        <v>5063.0219999999999</v>
      </c>
      <c r="E12" s="569">
        <v>14829.58</v>
      </c>
      <c r="F12" s="569">
        <v>22100.03</v>
      </c>
      <c r="G12" s="569">
        <v>25069.74</v>
      </c>
      <c r="H12" s="569">
        <v>27252.34</v>
      </c>
      <c r="I12" s="688"/>
    </row>
    <row r="13" spans="1:9">
      <c r="A13" s="680"/>
      <c r="B13" s="683"/>
      <c r="C13" s="565" t="s">
        <v>27</v>
      </c>
      <c r="D13" s="566">
        <v>1691.1420000000001</v>
      </c>
      <c r="E13" s="569">
        <v>5333.8649999999998</v>
      </c>
      <c r="F13" s="569">
        <v>8021.7089999999998</v>
      </c>
      <c r="G13" s="569">
        <v>8975.884</v>
      </c>
      <c r="H13" s="569">
        <v>9724.9590000000007</v>
      </c>
      <c r="I13" s="688"/>
    </row>
    <row r="14" spans="1:9" ht="14.25" customHeight="1">
      <c r="A14" s="681"/>
      <c r="B14" s="684"/>
      <c r="C14" s="571" t="s">
        <v>311</v>
      </c>
      <c r="D14" s="572">
        <v>0.54148949999999996</v>
      </c>
      <c r="E14" s="573">
        <v>0.69393709999999997</v>
      </c>
      <c r="F14" s="573">
        <v>0.68451340000000005</v>
      </c>
      <c r="G14" s="573">
        <v>0.66032860000000004</v>
      </c>
      <c r="H14" s="573">
        <v>0.68451340000000005</v>
      </c>
      <c r="I14" s="689"/>
    </row>
    <row r="15" spans="1:9" ht="15" customHeight="1">
      <c r="A15" s="685" t="s">
        <v>313</v>
      </c>
      <c r="B15" s="686">
        <v>17356</v>
      </c>
      <c r="C15" s="565" t="s">
        <v>647</v>
      </c>
      <c r="D15" s="566">
        <v>0</v>
      </c>
      <c r="E15" s="575">
        <v>0</v>
      </c>
      <c r="F15" s="569">
        <v>0</v>
      </c>
      <c r="G15" s="576">
        <v>0</v>
      </c>
      <c r="H15" s="690" t="s">
        <v>253</v>
      </c>
      <c r="I15" s="687" t="s">
        <v>253</v>
      </c>
    </row>
    <row r="16" spans="1:9" ht="15" customHeight="1">
      <c r="A16" s="680"/>
      <c r="B16" s="683"/>
      <c r="C16" s="565" t="s">
        <v>28</v>
      </c>
      <c r="D16" s="566">
        <v>272.24290000000002</v>
      </c>
      <c r="E16" s="569">
        <v>2379.4119999999998</v>
      </c>
      <c r="F16" s="569">
        <v>4008.1860000000001</v>
      </c>
      <c r="G16" s="575">
        <v>4186.9170000000004</v>
      </c>
      <c r="H16" s="691"/>
      <c r="I16" s="688"/>
    </row>
    <row r="17" spans="1:9" ht="15" customHeight="1">
      <c r="A17" s="680"/>
      <c r="B17" s="683"/>
      <c r="C17" s="565" t="s">
        <v>648</v>
      </c>
      <c r="D17" s="566">
        <v>2823.1840000000002</v>
      </c>
      <c r="E17" s="575">
        <v>8419.5959999999995</v>
      </c>
      <c r="F17" s="569">
        <v>13338.41</v>
      </c>
      <c r="G17" s="569">
        <v>15384.25</v>
      </c>
      <c r="H17" s="691"/>
      <c r="I17" s="688"/>
    </row>
    <row r="18" spans="1:9" ht="15" customHeight="1">
      <c r="A18" s="680"/>
      <c r="B18" s="683"/>
      <c r="C18" s="565" t="s">
        <v>649</v>
      </c>
      <c r="D18" s="566">
        <v>5036.5460000000003</v>
      </c>
      <c r="E18" s="569">
        <v>15428.75</v>
      </c>
      <c r="F18" s="569">
        <v>22682.57</v>
      </c>
      <c r="G18" s="569">
        <v>25566.9</v>
      </c>
      <c r="H18" s="691"/>
      <c r="I18" s="688"/>
    </row>
    <row r="19" spans="1:9" ht="15" customHeight="1">
      <c r="A19" s="680"/>
      <c r="B19" s="683"/>
      <c r="C19" s="565" t="s">
        <v>27</v>
      </c>
      <c r="D19" s="566">
        <v>1680.626</v>
      </c>
      <c r="E19" s="569">
        <v>5533.2809999999999</v>
      </c>
      <c r="F19" s="569">
        <v>8265.2690000000002</v>
      </c>
      <c r="G19" s="569">
        <v>9240.3760000000002</v>
      </c>
      <c r="H19" s="691"/>
      <c r="I19" s="688"/>
    </row>
    <row r="20" spans="1:9" ht="15" customHeight="1">
      <c r="A20" s="681"/>
      <c r="B20" s="684"/>
      <c r="C20" s="571" t="s">
        <v>311</v>
      </c>
      <c r="D20" s="572">
        <v>0.54592070000000004</v>
      </c>
      <c r="E20" s="573">
        <v>0.69900899999999999</v>
      </c>
      <c r="F20" s="573">
        <v>0.69514869999999995</v>
      </c>
      <c r="G20" s="573">
        <v>0.66593690000000005</v>
      </c>
      <c r="H20" s="692"/>
      <c r="I20" s="689"/>
    </row>
    <row r="21" spans="1:9" ht="13.15" customHeight="1">
      <c r="A21" s="685" t="s">
        <v>314</v>
      </c>
      <c r="B21" s="686">
        <v>22506</v>
      </c>
      <c r="C21" s="565" t="s">
        <v>647</v>
      </c>
      <c r="D21" s="566">
        <v>0</v>
      </c>
      <c r="E21" s="569">
        <v>0</v>
      </c>
      <c r="F21" s="569">
        <v>0</v>
      </c>
      <c r="G21" s="691" t="s">
        <v>253</v>
      </c>
      <c r="H21" s="691" t="s">
        <v>253</v>
      </c>
      <c r="I21" s="687" t="s">
        <v>253</v>
      </c>
    </row>
    <row r="22" spans="1:9" ht="13.15" customHeight="1">
      <c r="A22" s="680"/>
      <c r="B22" s="683"/>
      <c r="C22" s="565" t="s">
        <v>28</v>
      </c>
      <c r="D22" s="566">
        <v>364.93079999999998</v>
      </c>
      <c r="E22" s="569">
        <v>2665.8829999999998</v>
      </c>
      <c r="F22" s="569">
        <v>4339.3509999999997</v>
      </c>
      <c r="G22" s="691"/>
      <c r="H22" s="691"/>
      <c r="I22" s="688"/>
    </row>
    <row r="23" spans="1:9" ht="13.15" customHeight="1">
      <c r="A23" s="680"/>
      <c r="B23" s="683"/>
      <c r="C23" s="565" t="s">
        <v>648</v>
      </c>
      <c r="D23" s="566">
        <v>2868.6779999999999</v>
      </c>
      <c r="E23" s="569">
        <v>8780.6</v>
      </c>
      <c r="F23" s="569">
        <v>13743.68</v>
      </c>
      <c r="G23" s="691"/>
      <c r="H23" s="691"/>
      <c r="I23" s="688"/>
    </row>
    <row r="24" spans="1:9" ht="13.15" customHeight="1">
      <c r="A24" s="680"/>
      <c r="B24" s="683"/>
      <c r="C24" s="565" t="s">
        <v>649</v>
      </c>
      <c r="D24" s="566">
        <v>5107.6719999999996</v>
      </c>
      <c r="E24" s="569">
        <v>15826.23</v>
      </c>
      <c r="F24" s="569">
        <v>23186.9</v>
      </c>
      <c r="G24" s="691"/>
      <c r="H24" s="691"/>
      <c r="I24" s="688"/>
    </row>
    <row r="25" spans="1:9" ht="13.15" customHeight="1">
      <c r="A25" s="680"/>
      <c r="B25" s="683"/>
      <c r="C25" s="565" t="s">
        <v>27</v>
      </c>
      <c r="D25" s="566">
        <v>1718.15</v>
      </c>
      <c r="E25" s="577">
        <v>5780.9089999999997</v>
      </c>
      <c r="F25" s="578">
        <v>8531.0429999999997</v>
      </c>
      <c r="G25" s="691"/>
      <c r="H25" s="691"/>
      <c r="I25" s="688"/>
    </row>
    <row r="26" spans="1:9" ht="13.15" customHeight="1" thickBot="1">
      <c r="A26" s="693"/>
      <c r="B26" s="694"/>
      <c r="C26" s="579" t="s">
        <v>311</v>
      </c>
      <c r="D26" s="580">
        <v>0.55991999999999997</v>
      </c>
      <c r="E26" s="581">
        <v>0.71161960000000002</v>
      </c>
      <c r="F26" s="581">
        <v>0.70513219999999999</v>
      </c>
      <c r="G26" s="695"/>
      <c r="H26" s="695"/>
      <c r="I26" s="696"/>
    </row>
    <row r="28" spans="1:9" ht="16.5" thickBot="1"/>
    <row r="29" spans="1:9" ht="15.75" customHeight="1" thickBot="1">
      <c r="A29" s="676" t="s">
        <v>640</v>
      </c>
      <c r="B29" s="677"/>
      <c r="C29" s="677"/>
      <c r="D29" s="677"/>
      <c r="E29" s="677"/>
      <c r="F29" s="677"/>
      <c r="G29" s="677"/>
      <c r="H29" s="677"/>
      <c r="I29" s="678"/>
    </row>
    <row r="30" spans="1:9" ht="48" thickBot="1">
      <c r="A30" s="560" t="s">
        <v>41</v>
      </c>
      <c r="B30" s="561" t="s">
        <v>645</v>
      </c>
      <c r="C30" s="561" t="s">
        <v>308</v>
      </c>
      <c r="D30" s="562" t="s">
        <v>309</v>
      </c>
      <c r="E30" s="563" t="s">
        <v>633</v>
      </c>
      <c r="F30" s="563" t="s">
        <v>634</v>
      </c>
      <c r="G30" s="563" t="s">
        <v>635</v>
      </c>
      <c r="H30" s="563" t="s">
        <v>655</v>
      </c>
      <c r="I30" s="564" t="s">
        <v>636</v>
      </c>
    </row>
    <row r="31" spans="1:9" ht="31.5">
      <c r="A31" s="679" t="s">
        <v>310</v>
      </c>
      <c r="B31" s="682">
        <v>5177</v>
      </c>
      <c r="C31" s="565" t="s">
        <v>647</v>
      </c>
      <c r="D31" s="566">
        <v>1077.0740000000001</v>
      </c>
      <c r="E31" s="567">
        <v>1809.222</v>
      </c>
      <c r="F31" s="567">
        <v>3270.7109999999998</v>
      </c>
      <c r="G31" s="567">
        <v>3843.2310000000002</v>
      </c>
      <c r="H31" s="567">
        <v>4526.05</v>
      </c>
      <c r="I31" s="568">
        <v>4909.4520000000002</v>
      </c>
    </row>
    <row r="32" spans="1:9">
      <c r="A32" s="680"/>
      <c r="B32" s="683"/>
      <c r="C32" s="565" t="s">
        <v>28</v>
      </c>
      <c r="D32" s="566">
        <v>2672.2289999999998</v>
      </c>
      <c r="E32" s="567">
        <v>5138.0230000000001</v>
      </c>
      <c r="F32" s="567">
        <v>9079.9789999999994</v>
      </c>
      <c r="G32" s="567">
        <v>10772.75</v>
      </c>
      <c r="H32" s="567">
        <v>11953.9</v>
      </c>
      <c r="I32" s="568">
        <v>13218.21</v>
      </c>
    </row>
    <row r="33" spans="1:9" ht="31.5">
      <c r="A33" s="680"/>
      <c r="B33" s="683"/>
      <c r="C33" s="565" t="s">
        <v>648</v>
      </c>
      <c r="D33" s="566">
        <v>4504.2969999999996</v>
      </c>
      <c r="E33" s="567">
        <v>10918.87</v>
      </c>
      <c r="F33" s="567">
        <v>17113.150000000001</v>
      </c>
      <c r="G33" s="567">
        <v>19628.349999999999</v>
      </c>
      <c r="H33" s="567">
        <v>21729.7</v>
      </c>
      <c r="I33" s="568">
        <v>23843.5</v>
      </c>
    </row>
    <row r="34" spans="1:9" ht="31.5">
      <c r="A34" s="680"/>
      <c r="B34" s="683"/>
      <c r="C34" s="565" t="s">
        <v>649</v>
      </c>
      <c r="D34" s="566">
        <v>6441.2719999999999</v>
      </c>
      <c r="E34" s="567">
        <v>17615.990000000002</v>
      </c>
      <c r="F34" s="567">
        <v>25679.65</v>
      </c>
      <c r="G34" s="567">
        <v>28963.11</v>
      </c>
      <c r="H34" s="567">
        <v>31647.31</v>
      </c>
      <c r="I34" s="568">
        <v>34145.32</v>
      </c>
    </row>
    <row r="35" spans="1:9">
      <c r="A35" s="680"/>
      <c r="B35" s="683"/>
      <c r="C35" s="571" t="s">
        <v>27</v>
      </c>
      <c r="D35" s="582">
        <v>3162.7570000000001</v>
      </c>
      <c r="E35" s="583">
        <v>7633.0349999999999</v>
      </c>
      <c r="F35" s="583">
        <v>11667.07</v>
      </c>
      <c r="G35" s="583">
        <v>13406.11</v>
      </c>
      <c r="H35" s="583">
        <v>14866.41</v>
      </c>
      <c r="I35" s="584">
        <v>16211.35</v>
      </c>
    </row>
    <row r="36" spans="1:9" ht="31.5">
      <c r="A36" s="685" t="s">
        <v>312</v>
      </c>
      <c r="B36" s="686">
        <v>11991</v>
      </c>
      <c r="C36" s="585" t="s">
        <v>647</v>
      </c>
      <c r="D36" s="586">
        <v>1109.412</v>
      </c>
      <c r="E36" s="576">
        <v>1894.4639999999999</v>
      </c>
      <c r="F36" s="576">
        <v>3304.4609999999998</v>
      </c>
      <c r="G36" s="576">
        <v>4059.067</v>
      </c>
      <c r="H36" s="576">
        <v>4656.2110000000002</v>
      </c>
      <c r="I36" s="687" t="s">
        <v>253</v>
      </c>
    </row>
    <row r="37" spans="1:9">
      <c r="A37" s="680"/>
      <c r="B37" s="683"/>
      <c r="C37" s="565" t="s">
        <v>28</v>
      </c>
      <c r="D37" s="566">
        <v>2609.2550000000001</v>
      </c>
      <c r="E37" s="587">
        <v>5309.04</v>
      </c>
      <c r="F37" s="569">
        <v>9311.2489999999998</v>
      </c>
      <c r="G37" s="569">
        <v>11205.58</v>
      </c>
      <c r="H37" s="569">
        <v>12267.57</v>
      </c>
      <c r="I37" s="688"/>
    </row>
    <row r="38" spans="1:9" ht="31.5">
      <c r="A38" s="680"/>
      <c r="B38" s="683"/>
      <c r="C38" s="565" t="s">
        <v>648</v>
      </c>
      <c r="D38" s="566">
        <v>4388.4620000000004</v>
      </c>
      <c r="E38" s="569">
        <v>10904.7</v>
      </c>
      <c r="F38" s="569">
        <v>17102.88</v>
      </c>
      <c r="G38" s="569">
        <v>19811.13</v>
      </c>
      <c r="H38" s="569">
        <v>21865.96</v>
      </c>
      <c r="I38" s="688"/>
    </row>
    <row r="39" spans="1:9" ht="31.5">
      <c r="A39" s="680"/>
      <c r="B39" s="683"/>
      <c r="C39" s="565" t="s">
        <v>649</v>
      </c>
      <c r="D39" s="566">
        <v>6344.482</v>
      </c>
      <c r="E39" s="569">
        <v>17470.68</v>
      </c>
      <c r="F39" s="569">
        <v>25591.49</v>
      </c>
      <c r="G39" s="569">
        <v>28963.759999999998</v>
      </c>
      <c r="H39" s="569">
        <v>31693.01</v>
      </c>
      <c r="I39" s="688"/>
    </row>
    <row r="40" spans="1:9">
      <c r="A40" s="681"/>
      <c r="B40" s="684"/>
      <c r="C40" s="571" t="s">
        <v>27</v>
      </c>
      <c r="D40" s="582">
        <v>3123.13</v>
      </c>
      <c r="E40" s="588">
        <v>7686.3810000000003</v>
      </c>
      <c r="F40" s="588">
        <v>11718.85</v>
      </c>
      <c r="G40" s="588">
        <v>13593.06</v>
      </c>
      <c r="H40" s="588">
        <v>15027.32</v>
      </c>
      <c r="I40" s="689"/>
    </row>
    <row r="41" spans="1:9" ht="31.5">
      <c r="A41" s="685" t="s">
        <v>313</v>
      </c>
      <c r="B41" s="686">
        <v>17356</v>
      </c>
      <c r="C41" s="585" t="s">
        <v>647</v>
      </c>
      <c r="D41" s="586">
        <v>1075.1189999999999</v>
      </c>
      <c r="E41" s="589">
        <v>1956.971</v>
      </c>
      <c r="F41" s="576">
        <v>3351.4859999999999</v>
      </c>
      <c r="G41" s="576">
        <v>4225.2610000000004</v>
      </c>
      <c r="H41" s="690" t="s">
        <v>253</v>
      </c>
      <c r="I41" s="687" t="s">
        <v>253</v>
      </c>
    </row>
    <row r="42" spans="1:9">
      <c r="A42" s="680"/>
      <c r="B42" s="683"/>
      <c r="C42" s="565" t="s">
        <v>28</v>
      </c>
      <c r="D42" s="566">
        <v>2564.1460000000002</v>
      </c>
      <c r="E42" s="569">
        <v>5479.1189999999997</v>
      </c>
      <c r="F42" s="569">
        <v>9407.6119999999992</v>
      </c>
      <c r="G42" s="575">
        <v>11401.85</v>
      </c>
      <c r="H42" s="691"/>
      <c r="I42" s="688"/>
    </row>
    <row r="43" spans="1:9" ht="31.5">
      <c r="A43" s="680"/>
      <c r="B43" s="683"/>
      <c r="C43" s="565" t="s">
        <v>648</v>
      </c>
      <c r="D43" s="566">
        <v>4350.1059999999998</v>
      </c>
      <c r="E43" s="575">
        <v>11186.16</v>
      </c>
      <c r="F43" s="569">
        <v>17335.490000000002</v>
      </c>
      <c r="G43" s="569">
        <v>20121.37</v>
      </c>
      <c r="H43" s="691"/>
      <c r="I43" s="688"/>
    </row>
    <row r="44" spans="1:9" ht="31.5">
      <c r="A44" s="680"/>
      <c r="B44" s="683"/>
      <c r="C44" s="565" t="s">
        <v>649</v>
      </c>
      <c r="D44" s="566">
        <v>6311.9219999999996</v>
      </c>
      <c r="E44" s="569">
        <v>17948.7</v>
      </c>
      <c r="F44" s="569">
        <v>25975.73</v>
      </c>
      <c r="G44" s="569">
        <v>29442.7</v>
      </c>
      <c r="H44" s="691"/>
      <c r="I44" s="688"/>
    </row>
    <row r="45" spans="1:9">
      <c r="A45" s="681"/>
      <c r="B45" s="684"/>
      <c r="C45" s="571" t="s">
        <v>27</v>
      </c>
      <c r="D45" s="582">
        <v>3078.5169999999998</v>
      </c>
      <c r="E45" s="583">
        <v>7915.8950000000004</v>
      </c>
      <c r="F45" s="583">
        <v>11889.93</v>
      </c>
      <c r="G45" s="583">
        <v>13875.75</v>
      </c>
      <c r="H45" s="692"/>
      <c r="I45" s="689"/>
    </row>
    <row r="46" spans="1:9" ht="31.5">
      <c r="A46" s="680" t="s">
        <v>314</v>
      </c>
      <c r="B46" s="683">
        <v>22505</v>
      </c>
      <c r="C46" s="565" t="s">
        <v>647</v>
      </c>
      <c r="D46" s="566">
        <v>1046.6600000000001</v>
      </c>
      <c r="E46" s="569">
        <v>2063.779</v>
      </c>
      <c r="F46" s="569">
        <v>3494.7220000000002</v>
      </c>
      <c r="G46" s="691" t="s">
        <v>253</v>
      </c>
      <c r="H46" s="691" t="s">
        <v>253</v>
      </c>
      <c r="I46" s="688" t="s">
        <v>253</v>
      </c>
    </row>
    <row r="47" spans="1:9">
      <c r="A47" s="680"/>
      <c r="B47" s="683"/>
      <c r="C47" s="565" t="s">
        <v>28</v>
      </c>
      <c r="D47" s="566">
        <v>2534.7489999999998</v>
      </c>
      <c r="E47" s="569">
        <v>5685.4049999999997</v>
      </c>
      <c r="F47" s="569">
        <v>9602.4419999999991</v>
      </c>
      <c r="G47" s="691"/>
      <c r="H47" s="691"/>
      <c r="I47" s="688"/>
    </row>
    <row r="48" spans="1:9" ht="31.5">
      <c r="A48" s="680"/>
      <c r="B48" s="683"/>
      <c r="C48" s="565" t="s">
        <v>648</v>
      </c>
      <c r="D48" s="566">
        <v>4346.7430000000004</v>
      </c>
      <c r="E48" s="569">
        <v>11515.17</v>
      </c>
      <c r="F48" s="569">
        <v>17614.189999999999</v>
      </c>
      <c r="G48" s="691"/>
      <c r="H48" s="691"/>
      <c r="I48" s="688"/>
    </row>
    <row r="49" spans="1:9" ht="31.5">
      <c r="A49" s="680"/>
      <c r="B49" s="683"/>
      <c r="C49" s="565" t="s">
        <v>649</v>
      </c>
      <c r="D49" s="566">
        <v>6315.1729999999998</v>
      </c>
      <c r="E49" s="569">
        <v>18312.66</v>
      </c>
      <c r="F49" s="569">
        <v>26386.42</v>
      </c>
      <c r="G49" s="691"/>
      <c r="H49" s="691"/>
      <c r="I49" s="688"/>
    </row>
    <row r="50" spans="1:9" ht="16.5" thickBot="1">
      <c r="A50" s="693"/>
      <c r="B50" s="694"/>
      <c r="C50" s="579" t="s">
        <v>27</v>
      </c>
      <c r="D50" s="590">
        <v>3068.5630000000001</v>
      </c>
      <c r="E50" s="591">
        <v>8123.5940000000001</v>
      </c>
      <c r="F50" s="592">
        <v>12098.5</v>
      </c>
      <c r="G50" s="695"/>
      <c r="H50" s="695"/>
      <c r="I50" s="696"/>
    </row>
    <row r="51" spans="1:9">
      <c r="A51" s="674" t="s">
        <v>637</v>
      </c>
      <c r="B51" s="674"/>
      <c r="C51" s="674"/>
      <c r="D51" s="674"/>
      <c r="E51" s="674"/>
      <c r="F51" s="674"/>
      <c r="G51" s="674"/>
      <c r="H51" s="674"/>
      <c r="I51" s="674"/>
    </row>
    <row r="52" spans="1:9">
      <c r="A52" s="674"/>
      <c r="B52" s="674"/>
      <c r="C52" s="674"/>
      <c r="D52" s="674"/>
      <c r="E52" s="674"/>
      <c r="F52" s="674"/>
      <c r="G52" s="674"/>
      <c r="H52" s="674"/>
      <c r="I52" s="674"/>
    </row>
    <row r="53" spans="1:9">
      <c r="A53" s="675" t="s">
        <v>646</v>
      </c>
      <c r="B53" s="675"/>
      <c r="C53" s="675"/>
      <c r="D53" s="675"/>
      <c r="E53" s="675"/>
      <c r="F53" s="675"/>
      <c r="G53" s="675"/>
      <c r="H53" s="675"/>
      <c r="I53" s="675"/>
    </row>
    <row r="54" spans="1:9" ht="48.6" customHeight="1">
      <c r="A54" s="675"/>
      <c r="B54" s="675"/>
      <c r="C54" s="675"/>
      <c r="D54" s="675"/>
      <c r="E54" s="675"/>
      <c r="F54" s="675"/>
      <c r="G54" s="675"/>
      <c r="H54" s="675"/>
      <c r="I54" s="675"/>
    </row>
  </sheetData>
  <mergeCells count="32">
    <mergeCell ref="A41:A45"/>
    <mergeCell ref="B41:B45"/>
    <mergeCell ref="H41:H45"/>
    <mergeCell ref="I41:I45"/>
    <mergeCell ref="A46:A50"/>
    <mergeCell ref="B46:B50"/>
    <mergeCell ref="G46:G50"/>
    <mergeCell ref="H46:H50"/>
    <mergeCell ref="I46:I50"/>
    <mergeCell ref="I21:I26"/>
    <mergeCell ref="A29:I29"/>
    <mergeCell ref="A31:A35"/>
    <mergeCell ref="B31:B35"/>
    <mergeCell ref="A36:A40"/>
    <mergeCell ref="B36:B40"/>
    <mergeCell ref="I36:I40"/>
    <mergeCell ref="A51:I52"/>
    <mergeCell ref="A53:I54"/>
    <mergeCell ref="A1:I1"/>
    <mergeCell ref="A3:A8"/>
    <mergeCell ref="B3:B8"/>
    <mergeCell ref="A9:A14"/>
    <mergeCell ref="B9:B14"/>
    <mergeCell ref="I9:I14"/>
    <mergeCell ref="A15:A20"/>
    <mergeCell ref="B15:B20"/>
    <mergeCell ref="H15:H20"/>
    <mergeCell ref="I15:I20"/>
    <mergeCell ref="A21:A26"/>
    <mergeCell ref="B21:B26"/>
    <mergeCell ref="G21:G26"/>
    <mergeCell ref="H21:H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J2" sqref="J2"/>
    </sheetView>
  </sheetViews>
  <sheetFormatPr defaultColWidth="8.85546875" defaultRowHeight="15.75"/>
  <cols>
    <col min="1" max="1" width="21.42578125" style="559" customWidth="1"/>
    <col min="2" max="2" width="8.85546875" style="559"/>
    <col min="3" max="3" width="26.7109375" style="559" customWidth="1"/>
    <col min="4" max="4" width="8.85546875" style="559"/>
    <col min="5" max="8" width="15.28515625" style="559" customWidth="1"/>
    <col min="9" max="9" width="14.140625" style="559" customWidth="1"/>
    <col min="10" max="16384" width="8.85546875" style="559"/>
  </cols>
  <sheetData>
    <row r="1" spans="1:9" ht="31.9" customHeight="1" thickBot="1">
      <c r="A1" s="676" t="s">
        <v>641</v>
      </c>
      <c r="B1" s="677"/>
      <c r="C1" s="677"/>
      <c r="D1" s="677"/>
      <c r="E1" s="677"/>
      <c r="F1" s="677"/>
      <c r="G1" s="677"/>
      <c r="H1" s="677"/>
      <c r="I1" s="678"/>
    </row>
    <row r="2" spans="1:9" ht="48" thickBot="1">
      <c r="A2" s="560" t="s">
        <v>41</v>
      </c>
      <c r="B2" s="561" t="s">
        <v>307</v>
      </c>
      <c r="C2" s="561" t="s">
        <v>308</v>
      </c>
      <c r="D2" s="562" t="s">
        <v>309</v>
      </c>
      <c r="E2" s="563" t="s">
        <v>633</v>
      </c>
      <c r="F2" s="563" t="s">
        <v>634</v>
      </c>
      <c r="G2" s="563" t="s">
        <v>635</v>
      </c>
      <c r="H2" s="563" t="s">
        <v>655</v>
      </c>
      <c r="I2" s="564" t="s">
        <v>636</v>
      </c>
    </row>
    <row r="3" spans="1:9" ht="31.5">
      <c r="A3" s="679" t="s">
        <v>310</v>
      </c>
      <c r="B3" s="682">
        <v>1074</v>
      </c>
      <c r="C3" s="565" t="s">
        <v>647</v>
      </c>
      <c r="D3" s="566">
        <v>0</v>
      </c>
      <c r="E3" s="567">
        <v>0</v>
      </c>
      <c r="F3" s="567">
        <v>0</v>
      </c>
      <c r="G3" s="567">
        <v>0</v>
      </c>
      <c r="H3" s="567">
        <v>0</v>
      </c>
      <c r="I3" s="568">
        <v>0</v>
      </c>
    </row>
    <row r="4" spans="1:9">
      <c r="A4" s="680"/>
      <c r="B4" s="683"/>
      <c r="C4" s="565" t="s">
        <v>28</v>
      </c>
      <c r="D4" s="566">
        <v>0</v>
      </c>
      <c r="E4" s="567">
        <v>833.08870000000002</v>
      </c>
      <c r="F4" s="567">
        <v>1601.2329999999999</v>
      </c>
      <c r="G4" s="567">
        <v>2133.5030000000002</v>
      </c>
      <c r="H4" s="567">
        <v>2402.2049999999999</v>
      </c>
      <c r="I4" s="568">
        <v>2174.973</v>
      </c>
    </row>
    <row r="5" spans="1:9" ht="31.5">
      <c r="A5" s="680"/>
      <c r="B5" s="683"/>
      <c r="C5" s="565" t="s">
        <v>648</v>
      </c>
      <c r="D5" s="566">
        <v>593.83920000000001</v>
      </c>
      <c r="E5" s="567">
        <v>4567.6260000000002</v>
      </c>
      <c r="F5" s="567">
        <v>8315.0349999999999</v>
      </c>
      <c r="G5" s="567">
        <v>10356.02</v>
      </c>
      <c r="H5" s="567">
        <v>11938.58</v>
      </c>
      <c r="I5" s="568">
        <v>13720.97</v>
      </c>
    </row>
    <row r="6" spans="1:9" ht="31.5">
      <c r="A6" s="680"/>
      <c r="B6" s="683"/>
      <c r="C6" s="565" t="s">
        <v>649</v>
      </c>
      <c r="D6" s="566">
        <v>2308.1619999999998</v>
      </c>
      <c r="E6" s="567">
        <v>11612.44</v>
      </c>
      <c r="F6" s="567">
        <v>15570.81</v>
      </c>
      <c r="G6" s="567">
        <v>19414.11</v>
      </c>
      <c r="H6" s="567">
        <v>22180.25</v>
      </c>
      <c r="I6" s="568">
        <v>24332.799999999999</v>
      </c>
    </row>
    <row r="7" spans="1:9">
      <c r="A7" s="680"/>
      <c r="B7" s="683"/>
      <c r="C7" s="565" t="s">
        <v>27</v>
      </c>
      <c r="D7" s="566">
        <v>730.12940000000003</v>
      </c>
      <c r="E7" s="569">
        <v>3850.4810000000002</v>
      </c>
      <c r="F7" s="569">
        <v>5334.4040000000005</v>
      </c>
      <c r="G7" s="569">
        <v>6666.1289999999999</v>
      </c>
      <c r="H7" s="569">
        <v>7581.82</v>
      </c>
      <c r="I7" s="570">
        <v>8426.7250000000004</v>
      </c>
    </row>
    <row r="8" spans="1:9">
      <c r="A8" s="681"/>
      <c r="B8" s="684"/>
      <c r="C8" s="571" t="s">
        <v>311</v>
      </c>
      <c r="D8" s="572">
        <v>0.36592180000000002</v>
      </c>
      <c r="E8" s="593">
        <v>0.63687150000000003</v>
      </c>
      <c r="F8" s="593">
        <v>0.63966480000000003</v>
      </c>
      <c r="G8" s="593">
        <v>0.63966480000000003</v>
      </c>
      <c r="H8" s="593">
        <v>0.63966480000000003</v>
      </c>
      <c r="I8" s="594">
        <v>0.63035379999999996</v>
      </c>
    </row>
    <row r="9" spans="1:9" ht="31.5">
      <c r="A9" s="685" t="s">
        <v>312</v>
      </c>
      <c r="B9" s="686">
        <v>2514</v>
      </c>
      <c r="C9" s="565" t="s">
        <v>647</v>
      </c>
      <c r="D9" s="566">
        <v>0</v>
      </c>
      <c r="E9" s="569">
        <v>0</v>
      </c>
      <c r="F9" s="569">
        <v>0</v>
      </c>
      <c r="G9" s="569">
        <v>0</v>
      </c>
      <c r="H9" s="569">
        <v>0</v>
      </c>
      <c r="I9" s="687" t="s">
        <v>253</v>
      </c>
    </row>
    <row r="10" spans="1:9">
      <c r="A10" s="680"/>
      <c r="B10" s="683"/>
      <c r="C10" s="565" t="s">
        <v>28</v>
      </c>
      <c r="D10" s="566">
        <v>0</v>
      </c>
      <c r="E10" s="587">
        <v>927.73820000000001</v>
      </c>
      <c r="F10" s="569">
        <v>1424.952</v>
      </c>
      <c r="G10" s="569">
        <v>1827.251</v>
      </c>
      <c r="H10" s="569">
        <v>2211.4699999999998</v>
      </c>
      <c r="I10" s="688"/>
    </row>
    <row r="11" spans="1:9" ht="31.5">
      <c r="A11" s="680"/>
      <c r="B11" s="683"/>
      <c r="C11" s="565" t="s">
        <v>648</v>
      </c>
      <c r="D11" s="566">
        <v>821.56089999999995</v>
      </c>
      <c r="E11" s="569">
        <v>4942.424</v>
      </c>
      <c r="F11" s="569">
        <v>8277.2610000000004</v>
      </c>
      <c r="G11" s="569">
        <v>10194.76</v>
      </c>
      <c r="H11" s="569">
        <v>11974.02</v>
      </c>
      <c r="I11" s="688"/>
    </row>
    <row r="12" spans="1:9" ht="31.5">
      <c r="A12" s="680"/>
      <c r="B12" s="683"/>
      <c r="C12" s="565" t="s">
        <v>649</v>
      </c>
      <c r="D12" s="566">
        <v>2625.2339999999999</v>
      </c>
      <c r="E12" s="569">
        <v>11743.31</v>
      </c>
      <c r="F12" s="569">
        <v>15091.01</v>
      </c>
      <c r="G12" s="569">
        <v>19333.12</v>
      </c>
      <c r="H12" s="569">
        <v>21787.439999999999</v>
      </c>
      <c r="I12" s="688"/>
    </row>
    <row r="13" spans="1:9">
      <c r="A13" s="680"/>
      <c r="B13" s="683"/>
      <c r="C13" s="565" t="s">
        <v>27</v>
      </c>
      <c r="D13" s="566">
        <v>797.9556</v>
      </c>
      <c r="E13" s="578">
        <v>3941.0790000000002</v>
      </c>
      <c r="F13" s="578">
        <v>5260.8580000000002</v>
      </c>
      <c r="G13" s="578">
        <v>6507.4139999999998</v>
      </c>
      <c r="H13" s="578">
        <v>7482.7569999999996</v>
      </c>
      <c r="I13" s="688"/>
    </row>
    <row r="14" spans="1:9">
      <c r="A14" s="681"/>
      <c r="B14" s="684"/>
      <c r="C14" s="571" t="s">
        <v>311</v>
      </c>
      <c r="D14" s="572">
        <v>0.40413680000000002</v>
      </c>
      <c r="E14" s="593">
        <v>0.63922040000000002</v>
      </c>
      <c r="F14" s="593">
        <v>0.64081149999999998</v>
      </c>
      <c r="G14" s="593">
        <v>0.64160700000000004</v>
      </c>
      <c r="H14" s="593">
        <v>0.64081149999999998</v>
      </c>
      <c r="I14" s="689"/>
    </row>
    <row r="15" spans="1:9" ht="31.5">
      <c r="A15" s="685" t="s">
        <v>313</v>
      </c>
      <c r="B15" s="686">
        <v>4395</v>
      </c>
      <c r="C15" s="565" t="s">
        <v>647</v>
      </c>
      <c r="D15" s="566">
        <v>0</v>
      </c>
      <c r="E15" s="575">
        <v>0</v>
      </c>
      <c r="F15" s="569">
        <v>0</v>
      </c>
      <c r="G15" s="576">
        <v>0</v>
      </c>
      <c r="H15" s="690" t="s">
        <v>253</v>
      </c>
      <c r="I15" s="687" t="s">
        <v>253</v>
      </c>
    </row>
    <row r="16" spans="1:9">
      <c r="A16" s="680"/>
      <c r="B16" s="683"/>
      <c r="C16" s="565" t="s">
        <v>28</v>
      </c>
      <c r="D16" s="566">
        <v>0</v>
      </c>
      <c r="E16" s="569">
        <v>1145.009</v>
      </c>
      <c r="F16" s="569">
        <v>1803.452</v>
      </c>
      <c r="G16" s="575">
        <v>2353.3420000000001</v>
      </c>
      <c r="H16" s="691"/>
      <c r="I16" s="688"/>
    </row>
    <row r="17" spans="1:9" ht="31.5">
      <c r="A17" s="680"/>
      <c r="B17" s="683"/>
      <c r="C17" s="565" t="s">
        <v>648</v>
      </c>
      <c r="D17" s="566">
        <v>940.23090000000002</v>
      </c>
      <c r="E17" s="575">
        <v>5685.4049999999997</v>
      </c>
      <c r="F17" s="569">
        <v>8647.1880000000001</v>
      </c>
      <c r="G17" s="569">
        <v>11296.8</v>
      </c>
      <c r="H17" s="691"/>
      <c r="I17" s="688"/>
    </row>
    <row r="18" spans="1:9" ht="31.5">
      <c r="A18" s="680"/>
      <c r="B18" s="683"/>
      <c r="C18" s="565" t="s">
        <v>649</v>
      </c>
      <c r="D18" s="566">
        <v>2850.0590000000002</v>
      </c>
      <c r="E18" s="569">
        <v>12672.64</v>
      </c>
      <c r="F18" s="569">
        <v>16321.67</v>
      </c>
      <c r="G18" s="569">
        <v>20217.62</v>
      </c>
      <c r="H18" s="691"/>
      <c r="I18" s="688"/>
    </row>
    <row r="19" spans="1:9">
      <c r="A19" s="680"/>
      <c r="B19" s="683"/>
      <c r="C19" s="565" t="s">
        <v>27</v>
      </c>
      <c r="D19" s="566">
        <v>838.22940000000006</v>
      </c>
      <c r="E19" s="569">
        <v>4269.8140000000003</v>
      </c>
      <c r="F19" s="569">
        <v>5683.5060000000003</v>
      </c>
      <c r="G19" s="569">
        <v>7028.0680000000002</v>
      </c>
      <c r="H19" s="691"/>
      <c r="I19" s="688"/>
    </row>
    <row r="20" spans="1:9">
      <c r="A20" s="681"/>
      <c r="B20" s="684"/>
      <c r="C20" s="571" t="s">
        <v>311</v>
      </c>
      <c r="D20" s="572">
        <v>0.42366330000000002</v>
      </c>
      <c r="E20" s="593">
        <v>0.65255969999999996</v>
      </c>
      <c r="F20" s="593">
        <v>0.66370879999999999</v>
      </c>
      <c r="G20" s="593">
        <v>0.65506260000000005</v>
      </c>
      <c r="H20" s="692"/>
      <c r="I20" s="689"/>
    </row>
    <row r="21" spans="1:9" ht="31.5">
      <c r="A21" s="685" t="s">
        <v>314</v>
      </c>
      <c r="B21" s="686">
        <v>6090</v>
      </c>
      <c r="C21" s="565" t="s">
        <v>647</v>
      </c>
      <c r="D21" s="566">
        <v>0</v>
      </c>
      <c r="E21" s="569">
        <v>0</v>
      </c>
      <c r="F21" s="569">
        <v>0</v>
      </c>
      <c r="G21" s="691" t="s">
        <v>253</v>
      </c>
      <c r="H21" s="691" t="s">
        <v>253</v>
      </c>
      <c r="I21" s="687" t="s">
        <v>253</v>
      </c>
    </row>
    <row r="22" spans="1:9">
      <c r="A22" s="680"/>
      <c r="B22" s="683"/>
      <c r="C22" s="565" t="s">
        <v>28</v>
      </c>
      <c r="D22" s="566">
        <v>0</v>
      </c>
      <c r="E22" s="569">
        <v>1397.461</v>
      </c>
      <c r="F22" s="569">
        <v>2220.433</v>
      </c>
      <c r="G22" s="691"/>
      <c r="H22" s="691"/>
      <c r="I22" s="688"/>
    </row>
    <row r="23" spans="1:9" ht="31.5">
      <c r="A23" s="680"/>
      <c r="B23" s="683"/>
      <c r="C23" s="565" t="s">
        <v>648</v>
      </c>
      <c r="D23" s="566">
        <v>1082.73</v>
      </c>
      <c r="E23" s="569">
        <v>6324.875</v>
      </c>
      <c r="F23" s="569">
        <v>9203.5879999999997</v>
      </c>
      <c r="G23" s="691"/>
      <c r="H23" s="691"/>
      <c r="I23" s="688"/>
    </row>
    <row r="24" spans="1:9" ht="31.5">
      <c r="A24" s="680"/>
      <c r="B24" s="683"/>
      <c r="C24" s="565" t="s">
        <v>649</v>
      </c>
      <c r="D24" s="566">
        <v>2930.1590000000001</v>
      </c>
      <c r="E24" s="569">
        <v>13774.24</v>
      </c>
      <c r="F24" s="569">
        <v>17343.22</v>
      </c>
      <c r="G24" s="691"/>
      <c r="H24" s="691"/>
      <c r="I24" s="688"/>
    </row>
    <row r="25" spans="1:9">
      <c r="A25" s="680"/>
      <c r="B25" s="683"/>
      <c r="C25" s="565" t="s">
        <v>27</v>
      </c>
      <c r="D25" s="566">
        <v>889.55190000000005</v>
      </c>
      <c r="E25" s="577">
        <v>4607.4189999999999</v>
      </c>
      <c r="F25" s="578">
        <v>6027.5230000000001</v>
      </c>
      <c r="G25" s="691"/>
      <c r="H25" s="691"/>
      <c r="I25" s="688"/>
    </row>
    <row r="26" spans="1:9" ht="16.5" thickBot="1">
      <c r="A26" s="693"/>
      <c r="B26" s="694"/>
      <c r="C26" s="579" t="s">
        <v>311</v>
      </c>
      <c r="D26" s="580">
        <v>0.4479475</v>
      </c>
      <c r="E26" s="581">
        <v>0.66912970000000005</v>
      </c>
      <c r="F26" s="581">
        <v>0.68177339999999997</v>
      </c>
      <c r="G26" s="695"/>
      <c r="H26" s="695"/>
      <c r="I26" s="696"/>
    </row>
    <row r="27" spans="1:9">
      <c r="D27" s="595"/>
      <c r="E27" s="596"/>
      <c r="F27" s="596"/>
      <c r="G27" s="596"/>
      <c r="H27" s="596"/>
      <c r="I27" s="596"/>
    </row>
    <row r="28" spans="1:9" ht="16.5" thickBot="1">
      <c r="D28" s="595"/>
      <c r="E28" s="596"/>
      <c r="F28" s="596"/>
      <c r="G28" s="596"/>
      <c r="H28" s="596"/>
      <c r="I28" s="596"/>
    </row>
    <row r="29" spans="1:9" ht="30.6" customHeight="1" thickBot="1">
      <c r="A29" s="676" t="s">
        <v>651</v>
      </c>
      <c r="B29" s="677"/>
      <c r="C29" s="677"/>
      <c r="D29" s="677"/>
      <c r="E29" s="677"/>
      <c r="F29" s="677"/>
      <c r="G29" s="677"/>
      <c r="H29" s="677"/>
      <c r="I29" s="678"/>
    </row>
    <row r="30" spans="1:9" ht="48" thickBot="1">
      <c r="A30" s="560" t="s">
        <v>41</v>
      </c>
      <c r="B30" s="561" t="s">
        <v>307</v>
      </c>
      <c r="C30" s="561" t="s">
        <v>308</v>
      </c>
      <c r="D30" s="562" t="s">
        <v>309</v>
      </c>
      <c r="E30" s="563" t="s">
        <v>633</v>
      </c>
      <c r="F30" s="563" t="s">
        <v>634</v>
      </c>
      <c r="G30" s="563" t="s">
        <v>635</v>
      </c>
      <c r="H30" s="563" t="s">
        <v>655</v>
      </c>
      <c r="I30" s="564" t="s">
        <v>636</v>
      </c>
    </row>
    <row r="31" spans="1:9" ht="31.5">
      <c r="A31" s="679" t="s">
        <v>310</v>
      </c>
      <c r="B31" s="682">
        <v>1074</v>
      </c>
      <c r="C31" s="597" t="s">
        <v>647</v>
      </c>
      <c r="D31" s="598">
        <v>418.21440000000001</v>
      </c>
      <c r="E31" s="599">
        <v>1036.0609999999999</v>
      </c>
      <c r="F31" s="599">
        <v>2101.4749999999999</v>
      </c>
      <c r="G31" s="599">
        <v>2649.1950000000002</v>
      </c>
      <c r="H31" s="599">
        <v>2819.1660000000002</v>
      </c>
      <c r="I31" s="600">
        <v>3214.6010000000001</v>
      </c>
    </row>
    <row r="32" spans="1:9">
      <c r="A32" s="680"/>
      <c r="B32" s="683"/>
      <c r="C32" s="565" t="s">
        <v>28</v>
      </c>
      <c r="D32" s="566">
        <v>1139.616</v>
      </c>
      <c r="E32" s="567">
        <v>3260.9389999999999</v>
      </c>
      <c r="F32" s="567">
        <v>5872.71</v>
      </c>
      <c r="G32" s="567">
        <v>7448.7259999999997</v>
      </c>
      <c r="H32" s="567">
        <v>8849.482</v>
      </c>
      <c r="I32" s="568">
        <v>10273.92</v>
      </c>
    </row>
    <row r="33" spans="1:9" ht="31.5">
      <c r="A33" s="680"/>
      <c r="B33" s="683"/>
      <c r="C33" s="565" t="s">
        <v>648</v>
      </c>
      <c r="D33" s="566">
        <v>2486.62</v>
      </c>
      <c r="E33" s="567">
        <v>8004.5959999999995</v>
      </c>
      <c r="F33" s="567">
        <v>11366.12</v>
      </c>
      <c r="G33" s="567">
        <v>15188.46</v>
      </c>
      <c r="H33" s="567">
        <v>17512.71</v>
      </c>
      <c r="I33" s="568">
        <v>20366.91</v>
      </c>
    </row>
    <row r="34" spans="1:9" ht="31.5">
      <c r="A34" s="680"/>
      <c r="B34" s="683"/>
      <c r="C34" s="565" t="s">
        <v>649</v>
      </c>
      <c r="D34" s="566">
        <v>4872.6049999999996</v>
      </c>
      <c r="E34" s="567">
        <v>15783.67</v>
      </c>
      <c r="F34" s="567">
        <v>19110.259999999998</v>
      </c>
      <c r="G34" s="567">
        <v>24191.03</v>
      </c>
      <c r="H34" s="567">
        <v>26061.14</v>
      </c>
      <c r="I34" s="568">
        <v>28769.84</v>
      </c>
    </row>
    <row r="35" spans="1:9">
      <c r="A35" s="680"/>
      <c r="B35" s="683"/>
      <c r="C35" s="571" t="s">
        <v>27</v>
      </c>
      <c r="D35" s="582">
        <v>1995.3150000000001</v>
      </c>
      <c r="E35" s="583">
        <v>6045.9309999999996</v>
      </c>
      <c r="F35" s="583">
        <v>8339.3739999999998</v>
      </c>
      <c r="G35" s="583">
        <v>10421.280000000001</v>
      </c>
      <c r="H35" s="583">
        <v>11818.4</v>
      </c>
      <c r="I35" s="584">
        <v>13368.25</v>
      </c>
    </row>
    <row r="36" spans="1:9" ht="31.5">
      <c r="A36" s="685" t="s">
        <v>312</v>
      </c>
      <c r="B36" s="686">
        <v>2514</v>
      </c>
      <c r="C36" s="565" t="s">
        <v>647</v>
      </c>
      <c r="D36" s="566">
        <v>418.0077</v>
      </c>
      <c r="E36" s="569">
        <v>1135.6510000000001</v>
      </c>
      <c r="F36" s="569">
        <v>1748.615</v>
      </c>
      <c r="G36" s="569">
        <v>2361.7429999999999</v>
      </c>
      <c r="H36" s="569">
        <v>2664.864</v>
      </c>
      <c r="I36" s="688" t="s">
        <v>253</v>
      </c>
    </row>
    <row r="37" spans="1:9">
      <c r="A37" s="680"/>
      <c r="B37" s="683"/>
      <c r="C37" s="565" t="s">
        <v>28</v>
      </c>
      <c r="D37" s="566">
        <v>1256.5730000000001</v>
      </c>
      <c r="E37" s="587">
        <v>3540.8159999999998</v>
      </c>
      <c r="F37" s="569">
        <v>5804.5039999999999</v>
      </c>
      <c r="G37" s="569">
        <v>7177.1840000000002</v>
      </c>
      <c r="H37" s="569">
        <v>8534.0069999999996</v>
      </c>
      <c r="I37" s="688"/>
    </row>
    <row r="38" spans="1:9" ht="31.5">
      <c r="A38" s="680"/>
      <c r="B38" s="683"/>
      <c r="C38" s="565" t="s">
        <v>648</v>
      </c>
      <c r="D38" s="566">
        <v>2602.348</v>
      </c>
      <c r="E38" s="569">
        <v>8405.9240000000009</v>
      </c>
      <c r="F38" s="569">
        <v>11643.86</v>
      </c>
      <c r="G38" s="569">
        <v>15052.07</v>
      </c>
      <c r="H38" s="569">
        <v>17420.23</v>
      </c>
      <c r="I38" s="688"/>
    </row>
    <row r="39" spans="1:9" ht="31.5">
      <c r="A39" s="680"/>
      <c r="B39" s="683"/>
      <c r="C39" s="565" t="s">
        <v>649</v>
      </c>
      <c r="D39" s="566">
        <v>4515.6409999999996</v>
      </c>
      <c r="E39" s="569">
        <v>15458.93</v>
      </c>
      <c r="F39" s="569">
        <v>18692.3</v>
      </c>
      <c r="G39" s="569">
        <v>23517.279999999999</v>
      </c>
      <c r="H39" s="569">
        <v>26029.89</v>
      </c>
      <c r="I39" s="688"/>
    </row>
    <row r="40" spans="1:9">
      <c r="A40" s="680"/>
      <c r="B40" s="683"/>
      <c r="C40" s="571" t="s">
        <v>27</v>
      </c>
      <c r="D40" s="582">
        <v>1974.4690000000001</v>
      </c>
      <c r="E40" s="588">
        <v>6165.4459999999999</v>
      </c>
      <c r="F40" s="588">
        <v>8209.6820000000007</v>
      </c>
      <c r="G40" s="588">
        <v>10142.370000000001</v>
      </c>
      <c r="H40" s="588">
        <v>11706.07</v>
      </c>
      <c r="I40" s="688"/>
    </row>
    <row r="41" spans="1:9" ht="31.5">
      <c r="A41" s="685" t="s">
        <v>313</v>
      </c>
      <c r="B41" s="686">
        <v>4395</v>
      </c>
      <c r="C41" s="565" t="s">
        <v>647</v>
      </c>
      <c r="D41" s="566">
        <v>451.50659999999999</v>
      </c>
      <c r="E41" s="575">
        <v>1261.3879999999999</v>
      </c>
      <c r="F41" s="569">
        <v>1849.7149999999999</v>
      </c>
      <c r="G41" s="569">
        <v>2563.5889999999999</v>
      </c>
      <c r="H41" s="690" t="s">
        <v>253</v>
      </c>
      <c r="I41" s="687" t="s">
        <v>253</v>
      </c>
    </row>
    <row r="42" spans="1:9">
      <c r="A42" s="680"/>
      <c r="B42" s="683"/>
      <c r="C42" s="565" t="s">
        <v>28</v>
      </c>
      <c r="D42" s="566">
        <v>1301.4190000000001</v>
      </c>
      <c r="E42" s="569">
        <v>3899.1109999999999</v>
      </c>
      <c r="F42" s="569">
        <v>5895.9859999999999</v>
      </c>
      <c r="G42" s="575">
        <v>7725.9669999999996</v>
      </c>
      <c r="H42" s="691"/>
      <c r="I42" s="688"/>
    </row>
    <row r="43" spans="1:9" ht="31.5">
      <c r="A43" s="680"/>
      <c r="B43" s="683"/>
      <c r="C43" s="565" t="s">
        <v>648</v>
      </c>
      <c r="D43" s="566">
        <v>2723.6320000000001</v>
      </c>
      <c r="E43" s="575">
        <v>8886.7360000000008</v>
      </c>
      <c r="F43" s="569">
        <v>11978.86</v>
      </c>
      <c r="G43" s="569">
        <v>15872.77</v>
      </c>
      <c r="H43" s="691"/>
      <c r="I43" s="688"/>
    </row>
    <row r="44" spans="1:9" ht="31.5">
      <c r="A44" s="680"/>
      <c r="B44" s="683"/>
      <c r="C44" s="565" t="s">
        <v>649</v>
      </c>
      <c r="D44" s="566">
        <v>4605.8429999999998</v>
      </c>
      <c r="E44" s="569">
        <v>16344.71</v>
      </c>
      <c r="F44" s="569">
        <v>20062.57</v>
      </c>
      <c r="G44" s="569">
        <v>24853.15</v>
      </c>
      <c r="H44" s="691"/>
      <c r="I44" s="688"/>
    </row>
    <row r="45" spans="1:9">
      <c r="A45" s="680"/>
      <c r="B45" s="683"/>
      <c r="C45" s="571" t="s">
        <v>27</v>
      </c>
      <c r="D45" s="582">
        <v>1978.527</v>
      </c>
      <c r="E45" s="583">
        <v>6543.1769999999997</v>
      </c>
      <c r="F45" s="583">
        <v>8563.2530000000006</v>
      </c>
      <c r="G45" s="583">
        <v>10728.85</v>
      </c>
      <c r="H45" s="692"/>
      <c r="I45" s="688"/>
    </row>
    <row r="46" spans="1:9" ht="31.5">
      <c r="A46" s="685" t="s">
        <v>314</v>
      </c>
      <c r="B46" s="686">
        <v>6090</v>
      </c>
      <c r="C46" s="565" t="s">
        <v>647</v>
      </c>
      <c r="D46" s="566">
        <v>465.98899999999998</v>
      </c>
      <c r="E46" s="569">
        <v>1375.5809999999999</v>
      </c>
      <c r="F46" s="569">
        <v>1994.598</v>
      </c>
      <c r="G46" s="691" t="s">
        <v>253</v>
      </c>
      <c r="H46" s="691" t="s">
        <v>253</v>
      </c>
      <c r="I46" s="687" t="s">
        <v>253</v>
      </c>
    </row>
    <row r="47" spans="1:9">
      <c r="A47" s="680"/>
      <c r="B47" s="683"/>
      <c r="C47" s="565" t="s">
        <v>28</v>
      </c>
      <c r="D47" s="566">
        <v>1305.761</v>
      </c>
      <c r="E47" s="569">
        <v>4193.9070000000002</v>
      </c>
      <c r="F47" s="569">
        <v>6199.491</v>
      </c>
      <c r="G47" s="691"/>
      <c r="H47" s="691"/>
      <c r="I47" s="688"/>
    </row>
    <row r="48" spans="1:9" ht="31.5">
      <c r="A48" s="680"/>
      <c r="B48" s="683"/>
      <c r="C48" s="565" t="s">
        <v>648</v>
      </c>
      <c r="D48" s="566">
        <v>2723.2869999999998</v>
      </c>
      <c r="E48" s="569">
        <v>9466.5370000000003</v>
      </c>
      <c r="F48" s="569">
        <v>12514.44</v>
      </c>
      <c r="G48" s="691"/>
      <c r="H48" s="691"/>
      <c r="I48" s="688"/>
    </row>
    <row r="49" spans="1:9" ht="31.5">
      <c r="A49" s="680"/>
      <c r="B49" s="683"/>
      <c r="C49" s="565" t="s">
        <v>649</v>
      </c>
      <c r="D49" s="566">
        <v>4625.78</v>
      </c>
      <c r="E49" s="569">
        <v>17004.47</v>
      </c>
      <c r="F49" s="569">
        <v>20931.150000000001</v>
      </c>
      <c r="G49" s="691"/>
      <c r="H49" s="691"/>
      <c r="I49" s="688"/>
    </row>
    <row r="50" spans="1:9" ht="16.5" thickBot="1">
      <c r="A50" s="693"/>
      <c r="B50" s="694"/>
      <c r="C50" s="579" t="s">
        <v>27</v>
      </c>
      <c r="D50" s="590">
        <v>1985.84</v>
      </c>
      <c r="E50" s="591">
        <v>6885.6880000000001</v>
      </c>
      <c r="F50" s="592">
        <v>8840.9480000000003</v>
      </c>
      <c r="G50" s="695"/>
      <c r="H50" s="695"/>
      <c r="I50" s="696"/>
    </row>
    <row r="51" spans="1:9">
      <c r="A51" s="674" t="s">
        <v>637</v>
      </c>
      <c r="B51" s="674"/>
      <c r="C51" s="674"/>
      <c r="D51" s="674"/>
      <c r="E51" s="674"/>
      <c r="F51" s="674"/>
      <c r="G51" s="674"/>
      <c r="H51" s="674"/>
      <c r="I51" s="674"/>
    </row>
    <row r="52" spans="1:9">
      <c r="A52" s="674"/>
      <c r="B52" s="674"/>
      <c r="C52" s="674"/>
      <c r="D52" s="674"/>
      <c r="E52" s="674"/>
      <c r="F52" s="674"/>
      <c r="G52" s="674"/>
      <c r="H52" s="674"/>
      <c r="I52" s="674"/>
    </row>
    <row r="53" spans="1:9" ht="14.45" customHeight="1">
      <c r="A53" s="675" t="s">
        <v>646</v>
      </c>
      <c r="B53" s="675"/>
      <c r="C53" s="675"/>
      <c r="D53" s="675"/>
      <c r="E53" s="675"/>
      <c r="F53" s="675"/>
      <c r="G53" s="675"/>
      <c r="H53" s="675"/>
      <c r="I53" s="675"/>
    </row>
    <row r="54" spans="1:9" ht="49.15" customHeight="1">
      <c r="A54" s="675"/>
      <c r="B54" s="675"/>
      <c r="C54" s="675"/>
      <c r="D54" s="675"/>
      <c r="E54" s="675"/>
      <c r="F54" s="675"/>
      <c r="G54" s="675"/>
      <c r="H54" s="675"/>
      <c r="I54" s="675"/>
    </row>
  </sheetData>
  <mergeCells count="32">
    <mergeCell ref="A41:A45"/>
    <mergeCell ref="B41:B45"/>
    <mergeCell ref="H41:H45"/>
    <mergeCell ref="I41:I45"/>
    <mergeCell ref="A46:A50"/>
    <mergeCell ref="B46:B50"/>
    <mergeCell ref="G46:G50"/>
    <mergeCell ref="H46:H50"/>
    <mergeCell ref="I46:I50"/>
    <mergeCell ref="I21:I26"/>
    <mergeCell ref="A29:I29"/>
    <mergeCell ref="A31:A35"/>
    <mergeCell ref="B31:B35"/>
    <mergeCell ref="A36:A40"/>
    <mergeCell ref="B36:B40"/>
    <mergeCell ref="I36:I40"/>
    <mergeCell ref="A51:I52"/>
    <mergeCell ref="A53:I54"/>
    <mergeCell ref="A1:I1"/>
    <mergeCell ref="A3:A8"/>
    <mergeCell ref="B3:B8"/>
    <mergeCell ref="A9:A14"/>
    <mergeCell ref="B9:B14"/>
    <mergeCell ref="I9:I14"/>
    <mergeCell ref="A15:A20"/>
    <mergeCell ref="B15:B20"/>
    <mergeCell ref="H15:H20"/>
    <mergeCell ref="I15:I20"/>
    <mergeCell ref="A21:A26"/>
    <mergeCell ref="B21:B26"/>
    <mergeCell ref="G21:G26"/>
    <mergeCell ref="H21:H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0" workbookViewId="0">
      <selection activeCell="H30" sqref="H30"/>
    </sheetView>
  </sheetViews>
  <sheetFormatPr defaultColWidth="8.85546875" defaultRowHeight="15.75"/>
  <cols>
    <col min="1" max="1" width="22" style="559" customWidth="1"/>
    <col min="2" max="2" width="8.85546875" style="559"/>
    <col min="3" max="3" width="25.140625" style="559" customWidth="1"/>
    <col min="4" max="4" width="8.85546875" style="559"/>
    <col min="5" max="9" width="15.42578125" style="559" customWidth="1"/>
    <col min="10" max="16384" width="8.85546875" style="559"/>
  </cols>
  <sheetData>
    <row r="1" spans="1:9" ht="36" customHeight="1" thickBot="1">
      <c r="A1" s="676" t="s">
        <v>642</v>
      </c>
      <c r="B1" s="677"/>
      <c r="C1" s="677"/>
      <c r="D1" s="677"/>
      <c r="E1" s="677"/>
      <c r="F1" s="677"/>
      <c r="G1" s="677"/>
      <c r="H1" s="677"/>
      <c r="I1" s="678"/>
    </row>
    <row r="2" spans="1:9" ht="48" thickBot="1">
      <c r="A2" s="560" t="s">
        <v>41</v>
      </c>
      <c r="B2" s="561" t="s">
        <v>307</v>
      </c>
      <c r="C2" s="561" t="s">
        <v>308</v>
      </c>
      <c r="D2" s="562" t="s">
        <v>309</v>
      </c>
      <c r="E2" s="563" t="s">
        <v>633</v>
      </c>
      <c r="F2" s="563" t="s">
        <v>634</v>
      </c>
      <c r="G2" s="563" t="s">
        <v>635</v>
      </c>
      <c r="H2" s="563" t="s">
        <v>655</v>
      </c>
      <c r="I2" s="601" t="s">
        <v>636</v>
      </c>
    </row>
    <row r="3" spans="1:9" ht="16.149999999999999" customHeight="1">
      <c r="A3" s="679" t="s">
        <v>310</v>
      </c>
      <c r="B3" s="682">
        <v>368</v>
      </c>
      <c r="C3" s="597" t="s">
        <v>647</v>
      </c>
      <c r="D3" s="598">
        <v>0</v>
      </c>
      <c r="E3" s="599">
        <v>0</v>
      </c>
      <c r="F3" s="599">
        <v>0</v>
      </c>
      <c r="G3" s="599">
        <v>0</v>
      </c>
      <c r="H3" s="599">
        <v>0</v>
      </c>
      <c r="I3" s="600">
        <v>0</v>
      </c>
    </row>
    <row r="4" spans="1:9" ht="16.149999999999999" customHeight="1">
      <c r="A4" s="680"/>
      <c r="B4" s="683"/>
      <c r="C4" s="565" t="s">
        <v>28</v>
      </c>
      <c r="D4" s="566">
        <v>0</v>
      </c>
      <c r="E4" s="567">
        <v>275.28969999999998</v>
      </c>
      <c r="F4" s="567">
        <v>1378.202</v>
      </c>
      <c r="G4" s="567">
        <v>1429.6869999999999</v>
      </c>
      <c r="H4" s="567">
        <v>2306.6039999999998</v>
      </c>
      <c r="I4" s="568">
        <v>1369.548</v>
      </c>
    </row>
    <row r="5" spans="1:9" ht="16.149999999999999" customHeight="1">
      <c r="A5" s="680"/>
      <c r="B5" s="683"/>
      <c r="C5" s="565" t="s">
        <v>648</v>
      </c>
      <c r="D5" s="566">
        <v>984.8913</v>
      </c>
      <c r="E5" s="567">
        <v>3584.38</v>
      </c>
      <c r="F5" s="567">
        <v>6848.4059999999999</v>
      </c>
      <c r="G5" s="567">
        <v>9300.482</v>
      </c>
      <c r="H5" s="567">
        <v>9290.2669999999998</v>
      </c>
      <c r="I5" s="568">
        <v>10090.25</v>
      </c>
    </row>
    <row r="6" spans="1:9" ht="16.149999999999999" customHeight="1">
      <c r="A6" s="680"/>
      <c r="B6" s="683"/>
      <c r="C6" s="565" t="s">
        <v>649</v>
      </c>
      <c r="D6" s="566">
        <v>3361.98</v>
      </c>
      <c r="E6" s="567">
        <v>10391.14</v>
      </c>
      <c r="F6" s="567">
        <v>14072.09</v>
      </c>
      <c r="G6" s="567">
        <v>18753.099999999999</v>
      </c>
      <c r="H6" s="567">
        <v>18998.27</v>
      </c>
      <c r="I6" s="568">
        <v>19635.509999999998</v>
      </c>
    </row>
    <row r="7" spans="1:9" ht="16.149999999999999" customHeight="1">
      <c r="A7" s="680"/>
      <c r="B7" s="683"/>
      <c r="C7" s="565" t="s">
        <v>27</v>
      </c>
      <c r="D7" s="566">
        <v>848.78899999999999</v>
      </c>
      <c r="E7" s="569">
        <v>2863.9270000000001</v>
      </c>
      <c r="F7" s="569">
        <v>4525.6409999999996</v>
      </c>
      <c r="G7" s="569">
        <v>5999.4210000000003</v>
      </c>
      <c r="H7" s="569">
        <v>6124.3019999999997</v>
      </c>
      <c r="I7" s="570">
        <v>6257.1779999999999</v>
      </c>
    </row>
    <row r="8" spans="1:9" ht="16.149999999999999" customHeight="1">
      <c r="A8" s="681"/>
      <c r="B8" s="684"/>
      <c r="C8" s="571" t="s">
        <v>311</v>
      </c>
      <c r="D8" s="572">
        <v>0.39945649999999999</v>
      </c>
      <c r="E8" s="573">
        <v>0.53532610000000003</v>
      </c>
      <c r="F8" s="573">
        <v>0.65489129999999995</v>
      </c>
      <c r="G8" s="573">
        <v>0.63315220000000005</v>
      </c>
      <c r="H8" s="573">
        <v>0.65489129999999995</v>
      </c>
      <c r="I8" s="574">
        <v>0.61684779999999995</v>
      </c>
    </row>
    <row r="9" spans="1:9" ht="21" customHeight="1">
      <c r="A9" s="685" t="s">
        <v>312</v>
      </c>
      <c r="B9" s="686">
        <v>1297</v>
      </c>
      <c r="C9" s="565" t="s">
        <v>647</v>
      </c>
      <c r="D9" s="566">
        <v>0</v>
      </c>
      <c r="E9" s="569">
        <v>0</v>
      </c>
      <c r="F9" s="569">
        <v>0</v>
      </c>
      <c r="G9" s="569">
        <v>0</v>
      </c>
      <c r="H9" s="569">
        <v>0</v>
      </c>
      <c r="I9" s="687" t="s">
        <v>253</v>
      </c>
    </row>
    <row r="10" spans="1:9" ht="19.5" customHeight="1">
      <c r="A10" s="680"/>
      <c r="B10" s="683"/>
      <c r="C10" s="565" t="s">
        <v>28</v>
      </c>
      <c r="D10" s="566">
        <v>0</v>
      </c>
      <c r="E10" s="587">
        <v>225.5061</v>
      </c>
      <c r="F10" s="569">
        <v>1148.4829999999999</v>
      </c>
      <c r="G10" s="569">
        <v>1280.373</v>
      </c>
      <c r="H10" s="569">
        <v>1536.2860000000001</v>
      </c>
      <c r="I10" s="688"/>
    </row>
    <row r="11" spans="1:9" ht="18" customHeight="1">
      <c r="A11" s="680"/>
      <c r="B11" s="683"/>
      <c r="C11" s="565" t="s">
        <v>648</v>
      </c>
      <c r="D11" s="566">
        <v>1420.8589999999999</v>
      </c>
      <c r="E11" s="569">
        <v>3867.3829999999998</v>
      </c>
      <c r="F11" s="569">
        <v>7534.7780000000002</v>
      </c>
      <c r="G11" s="569">
        <v>9479.0630000000001</v>
      </c>
      <c r="H11" s="569">
        <v>10164.01</v>
      </c>
      <c r="I11" s="688"/>
    </row>
    <row r="12" spans="1:9" ht="16.5" customHeight="1">
      <c r="A12" s="680"/>
      <c r="B12" s="683"/>
      <c r="C12" s="565" t="s">
        <v>649</v>
      </c>
      <c r="D12" s="566">
        <v>3289.373</v>
      </c>
      <c r="E12" s="569">
        <v>9115.0740000000005</v>
      </c>
      <c r="F12" s="569">
        <v>14424.94</v>
      </c>
      <c r="G12" s="569">
        <v>17731.830000000002</v>
      </c>
      <c r="H12" s="569">
        <v>19209.8</v>
      </c>
      <c r="I12" s="688"/>
    </row>
    <row r="13" spans="1:9" ht="18.75" customHeight="1">
      <c r="A13" s="680"/>
      <c r="B13" s="683"/>
      <c r="C13" s="565" t="s">
        <v>27</v>
      </c>
      <c r="D13" s="566">
        <v>947.24810000000002</v>
      </c>
      <c r="E13" s="578">
        <v>2737.884</v>
      </c>
      <c r="F13" s="578">
        <v>4735.3630000000003</v>
      </c>
      <c r="G13" s="578">
        <v>5858.1880000000001</v>
      </c>
      <c r="H13" s="578">
        <v>6338.8019999999997</v>
      </c>
      <c r="I13" s="688"/>
    </row>
    <row r="14" spans="1:9" ht="16.5" customHeight="1">
      <c r="A14" s="681"/>
      <c r="B14" s="684"/>
      <c r="C14" s="571" t="s">
        <v>311</v>
      </c>
      <c r="D14" s="572">
        <v>0.40786430000000001</v>
      </c>
      <c r="E14" s="573">
        <v>0.54433310000000001</v>
      </c>
      <c r="F14" s="573">
        <v>0.61680800000000002</v>
      </c>
      <c r="G14" s="573">
        <v>0.59599069999999998</v>
      </c>
      <c r="H14" s="573">
        <v>0.61680800000000002</v>
      </c>
      <c r="I14" s="689"/>
    </row>
    <row r="15" spans="1:9" ht="17.25" customHeight="1">
      <c r="A15" s="685" t="s">
        <v>313</v>
      </c>
      <c r="B15" s="686">
        <v>1719</v>
      </c>
      <c r="C15" s="565" t="s">
        <v>647</v>
      </c>
      <c r="D15" s="566">
        <v>0</v>
      </c>
      <c r="E15" s="575">
        <v>0</v>
      </c>
      <c r="F15" s="569">
        <v>0</v>
      </c>
      <c r="G15" s="569">
        <v>0</v>
      </c>
      <c r="H15" s="691" t="s">
        <v>253</v>
      </c>
      <c r="I15" s="687" t="s">
        <v>253</v>
      </c>
    </row>
    <row r="16" spans="1:9" ht="17.25" customHeight="1">
      <c r="A16" s="680"/>
      <c r="B16" s="683"/>
      <c r="C16" s="565" t="s">
        <v>28</v>
      </c>
      <c r="D16" s="566">
        <v>0</v>
      </c>
      <c r="E16" s="569">
        <v>339.2672</v>
      </c>
      <c r="F16" s="569">
        <v>1561.0409999999999</v>
      </c>
      <c r="G16" s="575">
        <v>1650.739</v>
      </c>
      <c r="H16" s="691"/>
      <c r="I16" s="688"/>
    </row>
    <row r="17" spans="1:9" ht="15.75" customHeight="1">
      <c r="A17" s="680"/>
      <c r="B17" s="683"/>
      <c r="C17" s="565" t="s">
        <v>648</v>
      </c>
      <c r="D17" s="566">
        <v>1427.8530000000001</v>
      </c>
      <c r="E17" s="575">
        <v>4409.7839999999997</v>
      </c>
      <c r="F17" s="569">
        <v>8260.0419999999995</v>
      </c>
      <c r="G17" s="569">
        <v>10185.16</v>
      </c>
      <c r="H17" s="691"/>
      <c r="I17" s="688"/>
    </row>
    <row r="18" spans="1:9" ht="17.25" customHeight="1">
      <c r="A18" s="680"/>
      <c r="B18" s="683"/>
      <c r="C18" s="565" t="s">
        <v>649</v>
      </c>
      <c r="D18" s="566">
        <v>3197.8180000000002</v>
      </c>
      <c r="E18" s="569">
        <v>10104.64</v>
      </c>
      <c r="F18" s="569">
        <v>14748.01</v>
      </c>
      <c r="G18" s="569">
        <v>19141.240000000002</v>
      </c>
      <c r="H18" s="691"/>
      <c r="I18" s="688"/>
    </row>
    <row r="19" spans="1:9" ht="18.75" customHeight="1">
      <c r="A19" s="680"/>
      <c r="B19" s="683"/>
      <c r="C19" s="565" t="s">
        <v>27</v>
      </c>
      <c r="D19" s="566">
        <v>927.298</v>
      </c>
      <c r="E19" s="569">
        <v>3030.4389999999999</v>
      </c>
      <c r="F19" s="569">
        <v>5026.0609999999997</v>
      </c>
      <c r="G19" s="569">
        <v>6293.567</v>
      </c>
      <c r="H19" s="691"/>
      <c r="I19" s="688"/>
    </row>
    <row r="20" spans="1:9" ht="18" customHeight="1">
      <c r="A20" s="681"/>
      <c r="B20" s="684"/>
      <c r="C20" s="571" t="s">
        <v>311</v>
      </c>
      <c r="D20" s="572">
        <v>0.42524719999999999</v>
      </c>
      <c r="E20" s="573">
        <v>0.56079120000000005</v>
      </c>
      <c r="F20" s="573">
        <v>0.64048870000000002</v>
      </c>
      <c r="G20" s="573">
        <v>0.61780100000000004</v>
      </c>
      <c r="H20" s="692"/>
      <c r="I20" s="689"/>
    </row>
    <row r="21" spans="1:9" ht="15.75" customHeight="1">
      <c r="A21" s="685" t="s">
        <v>314</v>
      </c>
      <c r="B21" s="686">
        <v>2044</v>
      </c>
      <c r="C21" s="565" t="s">
        <v>647</v>
      </c>
      <c r="D21" s="566">
        <v>0</v>
      </c>
      <c r="E21" s="569">
        <v>0</v>
      </c>
      <c r="F21" s="569">
        <v>0</v>
      </c>
      <c r="G21" s="691" t="s">
        <v>253</v>
      </c>
      <c r="H21" s="691" t="s">
        <v>253</v>
      </c>
      <c r="I21" s="687" t="s">
        <v>253</v>
      </c>
    </row>
    <row r="22" spans="1:9" ht="20.25" customHeight="1">
      <c r="A22" s="680"/>
      <c r="B22" s="683"/>
      <c r="C22" s="565" t="s">
        <v>28</v>
      </c>
      <c r="D22" s="566">
        <v>0</v>
      </c>
      <c r="E22" s="569">
        <v>529.92280000000005</v>
      </c>
      <c r="F22" s="569">
        <v>1748.134</v>
      </c>
      <c r="G22" s="691"/>
      <c r="H22" s="691"/>
      <c r="I22" s="688"/>
    </row>
    <row r="23" spans="1:9" ht="18" customHeight="1">
      <c r="A23" s="680"/>
      <c r="B23" s="683"/>
      <c r="C23" s="565" t="s">
        <v>648</v>
      </c>
      <c r="D23" s="566">
        <v>1528.8030000000001</v>
      </c>
      <c r="E23" s="569">
        <v>4678.0529999999999</v>
      </c>
      <c r="F23" s="569">
        <v>8674.1</v>
      </c>
      <c r="G23" s="691"/>
      <c r="H23" s="691"/>
      <c r="I23" s="688"/>
    </row>
    <row r="24" spans="1:9" ht="15" customHeight="1">
      <c r="A24" s="680"/>
      <c r="B24" s="683"/>
      <c r="C24" s="565" t="s">
        <v>649</v>
      </c>
      <c r="D24" s="566">
        <v>3252.982</v>
      </c>
      <c r="E24" s="569">
        <v>10262.89</v>
      </c>
      <c r="F24" s="569">
        <v>15664.17</v>
      </c>
      <c r="G24" s="691"/>
      <c r="H24" s="691"/>
      <c r="I24" s="688"/>
    </row>
    <row r="25" spans="1:9" ht="18.75" customHeight="1">
      <c r="A25" s="680"/>
      <c r="B25" s="683"/>
      <c r="C25" s="565" t="s">
        <v>27</v>
      </c>
      <c r="D25" s="566">
        <v>966.64890000000003</v>
      </c>
      <c r="E25" s="577">
        <v>3230.6849999999999</v>
      </c>
      <c r="F25" s="578">
        <v>5372.5680000000002</v>
      </c>
      <c r="G25" s="691"/>
      <c r="H25" s="691"/>
      <c r="I25" s="688"/>
    </row>
    <row r="26" spans="1:9" ht="16.5" thickBot="1">
      <c r="A26" s="693"/>
      <c r="B26" s="694"/>
      <c r="C26" s="579" t="s">
        <v>311</v>
      </c>
      <c r="D26" s="580">
        <v>0.43835619999999997</v>
      </c>
      <c r="E26" s="581">
        <v>0.58170250000000001</v>
      </c>
      <c r="F26" s="581">
        <v>0.65215259999999997</v>
      </c>
      <c r="G26" s="695"/>
      <c r="H26" s="695"/>
      <c r="I26" s="696"/>
    </row>
    <row r="27" spans="1:9">
      <c r="D27" s="595"/>
      <c r="E27" s="596"/>
      <c r="F27" s="596"/>
      <c r="G27" s="596"/>
      <c r="H27" s="596"/>
      <c r="I27" s="596"/>
    </row>
    <row r="28" spans="1:9" ht="16.5" thickBot="1">
      <c r="D28" s="595"/>
      <c r="E28" s="596"/>
      <c r="F28" s="596"/>
      <c r="G28" s="596"/>
      <c r="H28" s="596"/>
      <c r="I28" s="596"/>
    </row>
    <row r="29" spans="1:9" ht="29.45" customHeight="1" thickBot="1">
      <c r="A29" s="676" t="s">
        <v>652</v>
      </c>
      <c r="B29" s="677"/>
      <c r="C29" s="677"/>
      <c r="D29" s="677"/>
      <c r="E29" s="677"/>
      <c r="F29" s="677"/>
      <c r="G29" s="677"/>
      <c r="H29" s="677"/>
      <c r="I29" s="678"/>
    </row>
    <row r="30" spans="1:9" ht="48" thickBot="1">
      <c r="A30" s="560" t="s">
        <v>41</v>
      </c>
      <c r="B30" s="561" t="s">
        <v>307</v>
      </c>
      <c r="C30" s="561" t="s">
        <v>308</v>
      </c>
      <c r="D30" s="562" t="s">
        <v>309</v>
      </c>
      <c r="E30" s="563" t="s">
        <v>633</v>
      </c>
      <c r="F30" s="563" t="s">
        <v>634</v>
      </c>
      <c r="G30" s="563" t="s">
        <v>635</v>
      </c>
      <c r="H30" s="563" t="s">
        <v>655</v>
      </c>
      <c r="I30" s="601" t="s">
        <v>636</v>
      </c>
    </row>
    <row r="31" spans="1:9" ht="18" customHeight="1">
      <c r="A31" s="679" t="s">
        <v>310</v>
      </c>
      <c r="B31" s="682">
        <v>368</v>
      </c>
      <c r="C31" s="597" t="s">
        <v>647</v>
      </c>
      <c r="D31" s="598">
        <v>607.0231</v>
      </c>
      <c r="E31" s="599">
        <v>1275.0350000000001</v>
      </c>
      <c r="F31" s="599">
        <v>1544.5840000000001</v>
      </c>
      <c r="G31" s="599">
        <v>2006.4580000000001</v>
      </c>
      <c r="H31" s="599">
        <v>2974.0070000000001</v>
      </c>
      <c r="I31" s="600">
        <v>2404.991</v>
      </c>
    </row>
    <row r="32" spans="1:9" ht="18" customHeight="1">
      <c r="A32" s="680"/>
      <c r="B32" s="683"/>
      <c r="C32" s="565" t="s">
        <v>28</v>
      </c>
      <c r="D32" s="566">
        <v>1745.33</v>
      </c>
      <c r="E32" s="567">
        <v>3153.78</v>
      </c>
      <c r="F32" s="567">
        <v>4684.2290000000003</v>
      </c>
      <c r="G32" s="567">
        <v>6572.8140000000003</v>
      </c>
      <c r="H32" s="567">
        <v>6346.0649999999996</v>
      </c>
      <c r="I32" s="568">
        <v>7212.9650000000001</v>
      </c>
    </row>
    <row r="33" spans="1:9" ht="17.25" customHeight="1">
      <c r="A33" s="680"/>
      <c r="B33" s="683"/>
      <c r="C33" s="565" t="s">
        <v>648</v>
      </c>
      <c r="D33" s="566">
        <v>3361.98</v>
      </c>
      <c r="E33" s="567">
        <v>7878.1869999999999</v>
      </c>
      <c r="F33" s="567">
        <v>10197.9</v>
      </c>
      <c r="G33" s="567">
        <v>14352.16</v>
      </c>
      <c r="H33" s="567">
        <v>14622.7</v>
      </c>
      <c r="I33" s="568">
        <v>14283.89</v>
      </c>
    </row>
    <row r="34" spans="1:9" ht="21" customHeight="1">
      <c r="A34" s="680"/>
      <c r="B34" s="683"/>
      <c r="C34" s="565" t="s">
        <v>649</v>
      </c>
      <c r="D34" s="566">
        <v>4286.7020000000002</v>
      </c>
      <c r="E34" s="567">
        <v>13717.57</v>
      </c>
      <c r="F34" s="567">
        <v>15453.09</v>
      </c>
      <c r="G34" s="567">
        <v>22034.77</v>
      </c>
      <c r="H34" s="567">
        <v>22179.34</v>
      </c>
      <c r="I34" s="568">
        <v>23703.55</v>
      </c>
    </row>
    <row r="35" spans="1:9" ht="17.25" customHeight="1">
      <c r="A35" s="680"/>
      <c r="B35" s="683"/>
      <c r="C35" s="571" t="s">
        <v>27</v>
      </c>
      <c r="D35" s="582">
        <v>2124.86</v>
      </c>
      <c r="E35" s="583">
        <v>5349.8739999999998</v>
      </c>
      <c r="F35" s="583">
        <v>6910.5230000000001</v>
      </c>
      <c r="G35" s="583">
        <v>9475.4809999999998</v>
      </c>
      <c r="H35" s="583">
        <v>9798.884</v>
      </c>
      <c r="I35" s="570">
        <v>10143.799999999999</v>
      </c>
    </row>
    <row r="36" spans="1:9" ht="20.25" customHeight="1">
      <c r="A36" s="685" t="s">
        <v>312</v>
      </c>
      <c r="B36" s="686">
        <v>1297</v>
      </c>
      <c r="C36" s="565" t="s">
        <v>647</v>
      </c>
      <c r="D36" s="566">
        <v>869.86429999999996</v>
      </c>
      <c r="E36" s="569">
        <v>1187.02</v>
      </c>
      <c r="F36" s="569">
        <v>1640.604</v>
      </c>
      <c r="G36" s="569">
        <v>2504.0410000000002</v>
      </c>
      <c r="H36" s="569">
        <v>2545.5129999999999</v>
      </c>
      <c r="I36" s="687" t="s">
        <v>253</v>
      </c>
    </row>
    <row r="37" spans="1:9" ht="19.5" customHeight="1">
      <c r="A37" s="680"/>
      <c r="B37" s="683"/>
      <c r="C37" s="565" t="s">
        <v>28</v>
      </c>
      <c r="D37" s="566">
        <v>1965.8520000000001</v>
      </c>
      <c r="E37" s="587">
        <v>3337.1550000000002</v>
      </c>
      <c r="F37" s="569">
        <v>5388.3770000000004</v>
      </c>
      <c r="G37" s="569">
        <v>7695.3940000000002</v>
      </c>
      <c r="H37" s="569">
        <v>7385.9089999999997</v>
      </c>
      <c r="I37" s="688"/>
    </row>
    <row r="38" spans="1:9" ht="17.25" customHeight="1">
      <c r="A38" s="680"/>
      <c r="B38" s="683"/>
      <c r="C38" s="565" t="s">
        <v>648</v>
      </c>
      <c r="D38" s="566">
        <v>3252.529</v>
      </c>
      <c r="E38" s="569">
        <v>7450.3429999999998</v>
      </c>
      <c r="F38" s="569">
        <v>11442.23</v>
      </c>
      <c r="G38" s="569">
        <v>14464.3</v>
      </c>
      <c r="H38" s="569">
        <v>15371.47</v>
      </c>
      <c r="I38" s="688"/>
    </row>
    <row r="39" spans="1:9" ht="17.25" customHeight="1">
      <c r="A39" s="680"/>
      <c r="B39" s="683"/>
      <c r="C39" s="565" t="s">
        <v>649</v>
      </c>
      <c r="D39" s="566">
        <v>4634.5050000000001</v>
      </c>
      <c r="E39" s="569">
        <v>12033.2</v>
      </c>
      <c r="F39" s="569">
        <v>17235.91</v>
      </c>
      <c r="G39" s="569">
        <v>21463.79</v>
      </c>
      <c r="H39" s="569">
        <v>23724.32</v>
      </c>
      <c r="I39" s="688"/>
    </row>
    <row r="40" spans="1:9">
      <c r="A40" s="680"/>
      <c r="B40" s="683"/>
      <c r="C40" s="571" t="s">
        <v>27</v>
      </c>
      <c r="D40" s="582">
        <v>2322.4589999999998</v>
      </c>
      <c r="E40" s="588">
        <v>5029.7950000000001</v>
      </c>
      <c r="F40" s="588">
        <v>7677.2079999999996</v>
      </c>
      <c r="G40" s="588">
        <v>9829.3269999999993</v>
      </c>
      <c r="H40" s="588">
        <v>10367.5</v>
      </c>
      <c r="I40" s="688"/>
    </row>
    <row r="41" spans="1:9" ht="18" customHeight="1">
      <c r="A41" s="685" t="s">
        <v>313</v>
      </c>
      <c r="B41" s="686">
        <v>1719</v>
      </c>
      <c r="C41" s="565" t="s">
        <v>647</v>
      </c>
      <c r="D41" s="566">
        <v>773.94920000000002</v>
      </c>
      <c r="E41" s="575">
        <v>1206.6600000000001</v>
      </c>
      <c r="F41" s="569">
        <v>1865.598</v>
      </c>
      <c r="G41" s="569">
        <v>2618.2620000000002</v>
      </c>
      <c r="H41" s="690" t="s">
        <v>253</v>
      </c>
      <c r="I41" s="687" t="s">
        <v>253</v>
      </c>
    </row>
    <row r="42" spans="1:9" ht="17.25" customHeight="1">
      <c r="A42" s="680"/>
      <c r="B42" s="683"/>
      <c r="C42" s="565" t="s">
        <v>28</v>
      </c>
      <c r="D42" s="566">
        <v>1867.354</v>
      </c>
      <c r="E42" s="569">
        <v>3615.0569999999998</v>
      </c>
      <c r="F42" s="569">
        <v>5765.04</v>
      </c>
      <c r="G42" s="575">
        <v>7894.1130000000003</v>
      </c>
      <c r="H42" s="691"/>
      <c r="I42" s="688"/>
    </row>
    <row r="43" spans="1:9" ht="16.5" customHeight="1">
      <c r="A43" s="680"/>
      <c r="B43" s="683"/>
      <c r="C43" s="565" t="s">
        <v>648</v>
      </c>
      <c r="D43" s="566">
        <v>3131.2109999999998</v>
      </c>
      <c r="E43" s="575">
        <v>8054.259</v>
      </c>
      <c r="F43" s="569">
        <v>11700.43</v>
      </c>
      <c r="G43" s="569">
        <v>15106.2</v>
      </c>
      <c r="H43" s="691"/>
      <c r="I43" s="688"/>
    </row>
    <row r="44" spans="1:9" ht="16.5" customHeight="1">
      <c r="A44" s="680"/>
      <c r="B44" s="683"/>
      <c r="C44" s="565" t="s">
        <v>649</v>
      </c>
      <c r="D44" s="566">
        <v>4481.3069999999998</v>
      </c>
      <c r="E44" s="569">
        <v>13190.87</v>
      </c>
      <c r="F44" s="569">
        <v>17811.14</v>
      </c>
      <c r="G44" s="569">
        <v>22312.639999999999</v>
      </c>
      <c r="H44" s="691"/>
      <c r="I44" s="688"/>
    </row>
    <row r="45" spans="1:9" ht="16.5" customHeight="1">
      <c r="A45" s="680"/>
      <c r="B45" s="683"/>
      <c r="C45" s="571" t="s">
        <v>27</v>
      </c>
      <c r="D45" s="582">
        <v>2180.6089999999999</v>
      </c>
      <c r="E45" s="583">
        <v>5403.8639999999996</v>
      </c>
      <c r="F45" s="583">
        <v>7847.2290000000003</v>
      </c>
      <c r="G45" s="583">
        <v>10187.040000000001</v>
      </c>
      <c r="H45" s="692"/>
      <c r="I45" s="688"/>
    </row>
    <row r="46" spans="1:9" ht="17.25" customHeight="1">
      <c r="A46" s="685" t="s">
        <v>314</v>
      </c>
      <c r="B46" s="686">
        <v>2044</v>
      </c>
      <c r="C46" s="565" t="s">
        <v>647</v>
      </c>
      <c r="D46" s="566">
        <v>757.49120000000005</v>
      </c>
      <c r="E46" s="569">
        <v>1277.75</v>
      </c>
      <c r="F46" s="569">
        <v>2039.0350000000001</v>
      </c>
      <c r="G46" s="691" t="s">
        <v>253</v>
      </c>
      <c r="H46" s="691" t="s">
        <v>253</v>
      </c>
      <c r="I46" s="687" t="s">
        <v>253</v>
      </c>
    </row>
    <row r="47" spans="1:9" ht="19.5" customHeight="1">
      <c r="A47" s="680"/>
      <c r="B47" s="683"/>
      <c r="C47" s="565" t="s">
        <v>28</v>
      </c>
      <c r="D47" s="566">
        <v>1872.3050000000001</v>
      </c>
      <c r="E47" s="569">
        <v>3785.99</v>
      </c>
      <c r="F47" s="569">
        <v>5939.848</v>
      </c>
      <c r="G47" s="691"/>
      <c r="H47" s="691"/>
      <c r="I47" s="688"/>
    </row>
    <row r="48" spans="1:9" ht="17.25" customHeight="1">
      <c r="A48" s="680"/>
      <c r="B48" s="683"/>
      <c r="C48" s="565" t="s">
        <v>648</v>
      </c>
      <c r="D48" s="566">
        <v>3150.9690000000001</v>
      </c>
      <c r="E48" s="569">
        <v>8087.2929999999997</v>
      </c>
      <c r="F48" s="569">
        <v>12134.13</v>
      </c>
      <c r="G48" s="691"/>
      <c r="H48" s="691"/>
      <c r="I48" s="688"/>
    </row>
    <row r="49" spans="1:9" ht="17.25" customHeight="1">
      <c r="A49" s="680"/>
      <c r="B49" s="683"/>
      <c r="C49" s="565" t="s">
        <v>649</v>
      </c>
      <c r="D49" s="566">
        <v>4520.2830000000004</v>
      </c>
      <c r="E49" s="569">
        <v>13423.03</v>
      </c>
      <c r="F49" s="569">
        <v>18924.59</v>
      </c>
      <c r="G49" s="691"/>
      <c r="H49" s="691"/>
      <c r="I49" s="688"/>
    </row>
    <row r="50" spans="1:9" ht="20.25" customHeight="1" thickBot="1">
      <c r="A50" s="693"/>
      <c r="B50" s="694"/>
      <c r="C50" s="579" t="s">
        <v>27</v>
      </c>
      <c r="D50" s="590">
        <v>2205.1680000000001</v>
      </c>
      <c r="E50" s="591">
        <v>5553.8440000000001</v>
      </c>
      <c r="F50" s="592">
        <v>8238.2060000000001</v>
      </c>
      <c r="G50" s="695"/>
      <c r="H50" s="695"/>
      <c r="I50" s="696"/>
    </row>
    <row r="51" spans="1:9">
      <c r="A51" s="674" t="s">
        <v>637</v>
      </c>
      <c r="B51" s="674"/>
      <c r="C51" s="674"/>
      <c r="D51" s="674"/>
      <c r="E51" s="674"/>
      <c r="F51" s="674"/>
      <c r="G51" s="674"/>
      <c r="H51" s="674"/>
      <c r="I51" s="674"/>
    </row>
    <row r="52" spans="1:9">
      <c r="A52" s="674"/>
      <c r="B52" s="674"/>
      <c r="C52" s="674"/>
      <c r="D52" s="674"/>
      <c r="E52" s="674"/>
      <c r="F52" s="674"/>
      <c r="G52" s="674"/>
      <c r="H52" s="674"/>
      <c r="I52" s="674"/>
    </row>
    <row r="53" spans="1:9" ht="14.45" customHeight="1">
      <c r="A53" s="675" t="s">
        <v>646</v>
      </c>
      <c r="B53" s="675"/>
      <c r="C53" s="675"/>
      <c r="D53" s="675"/>
      <c r="E53" s="675"/>
      <c r="F53" s="675"/>
      <c r="G53" s="675"/>
      <c r="H53" s="675"/>
      <c r="I53" s="675"/>
    </row>
    <row r="54" spans="1:9" ht="46.9" customHeight="1">
      <c r="A54" s="675"/>
      <c r="B54" s="675"/>
      <c r="C54" s="675"/>
      <c r="D54" s="675"/>
      <c r="E54" s="675"/>
      <c r="F54" s="675"/>
      <c r="G54" s="675"/>
      <c r="H54" s="675"/>
      <c r="I54" s="675"/>
    </row>
  </sheetData>
  <mergeCells count="32">
    <mergeCell ref="A41:A45"/>
    <mergeCell ref="B41:B45"/>
    <mergeCell ref="H41:H45"/>
    <mergeCell ref="I41:I45"/>
    <mergeCell ref="A46:A50"/>
    <mergeCell ref="B46:B50"/>
    <mergeCell ref="G46:G50"/>
    <mergeCell ref="H46:H50"/>
    <mergeCell ref="I46:I50"/>
    <mergeCell ref="I21:I26"/>
    <mergeCell ref="A29:I29"/>
    <mergeCell ref="A31:A35"/>
    <mergeCell ref="B31:B35"/>
    <mergeCell ref="A36:A40"/>
    <mergeCell ref="B36:B40"/>
    <mergeCell ref="I36:I40"/>
    <mergeCell ref="A51:I52"/>
    <mergeCell ref="A53:I54"/>
    <mergeCell ref="A1:I1"/>
    <mergeCell ref="A3:A8"/>
    <mergeCell ref="B3:B8"/>
    <mergeCell ref="A9:A14"/>
    <mergeCell ref="B9:B14"/>
    <mergeCell ref="I9:I14"/>
    <mergeCell ref="A15:A20"/>
    <mergeCell ref="B15:B20"/>
    <mergeCell ref="H15:H20"/>
    <mergeCell ref="I15:I20"/>
    <mergeCell ref="A21:A26"/>
    <mergeCell ref="B21:B26"/>
    <mergeCell ref="G21:G26"/>
    <mergeCell ref="H21:H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90" zoomScaleNormal="90" workbookViewId="0">
      <selection activeCell="A53" sqref="A53:I54"/>
    </sheetView>
  </sheetViews>
  <sheetFormatPr defaultColWidth="8.85546875" defaultRowHeight="15.75"/>
  <cols>
    <col min="1" max="1" width="27.140625" style="559" customWidth="1"/>
    <col min="2" max="2" width="8.85546875" style="559"/>
    <col min="3" max="3" width="30.28515625" style="559" customWidth="1"/>
    <col min="4" max="4" width="8.85546875" style="559"/>
    <col min="5" max="9" width="15.85546875" style="559" customWidth="1"/>
    <col min="10" max="16384" width="8.85546875" style="559"/>
  </cols>
  <sheetData>
    <row r="1" spans="1:9" ht="32.450000000000003" customHeight="1" thickBot="1">
      <c r="A1" s="676" t="s">
        <v>643</v>
      </c>
      <c r="B1" s="677"/>
      <c r="C1" s="677"/>
      <c r="D1" s="677"/>
      <c r="E1" s="677"/>
      <c r="F1" s="677"/>
      <c r="G1" s="677"/>
      <c r="H1" s="677"/>
      <c r="I1" s="678"/>
    </row>
    <row r="2" spans="1:9" ht="48" thickBot="1">
      <c r="A2" s="560" t="s">
        <v>41</v>
      </c>
      <c r="B2" s="561" t="s">
        <v>307</v>
      </c>
      <c r="C2" s="561" t="s">
        <v>308</v>
      </c>
      <c r="D2" s="562" t="s">
        <v>309</v>
      </c>
      <c r="E2" s="563" t="s">
        <v>633</v>
      </c>
      <c r="F2" s="563" t="s">
        <v>634</v>
      </c>
      <c r="G2" s="563" t="s">
        <v>635</v>
      </c>
      <c r="H2" s="563" t="s">
        <v>655</v>
      </c>
      <c r="I2" s="564" t="s">
        <v>636</v>
      </c>
    </row>
    <row r="3" spans="1:9" ht="18" customHeight="1">
      <c r="A3" s="679" t="s">
        <v>310</v>
      </c>
      <c r="B3" s="682">
        <v>1259</v>
      </c>
      <c r="C3" s="565" t="s">
        <v>647</v>
      </c>
      <c r="D3" s="566">
        <v>0</v>
      </c>
      <c r="E3" s="567">
        <v>2089.3249999999998</v>
      </c>
      <c r="F3" s="567">
        <v>2003.4690000000001</v>
      </c>
      <c r="G3" s="567">
        <v>834.38919999999996</v>
      </c>
      <c r="H3" s="567">
        <v>0</v>
      </c>
      <c r="I3" s="568">
        <v>0</v>
      </c>
    </row>
    <row r="4" spans="1:9" ht="15.75" customHeight="1">
      <c r="A4" s="680"/>
      <c r="B4" s="683"/>
      <c r="C4" s="565" t="s">
        <v>28</v>
      </c>
      <c r="D4" s="566">
        <v>2915.7289999999998</v>
      </c>
      <c r="E4" s="567">
        <v>7730.5339999999997</v>
      </c>
      <c r="F4" s="567">
        <v>11082.34</v>
      </c>
      <c r="G4" s="567">
        <v>11103.73</v>
      </c>
      <c r="H4" s="567">
        <v>11697.7</v>
      </c>
      <c r="I4" s="568">
        <v>11610.62</v>
      </c>
    </row>
    <row r="5" spans="1:9" ht="18" customHeight="1">
      <c r="A5" s="680"/>
      <c r="B5" s="683"/>
      <c r="C5" s="565" t="s">
        <v>648</v>
      </c>
      <c r="D5" s="566">
        <v>5056.8860000000004</v>
      </c>
      <c r="E5" s="567">
        <v>13721.53</v>
      </c>
      <c r="F5" s="567">
        <v>20012.740000000002</v>
      </c>
      <c r="G5" s="567">
        <v>21625.200000000001</v>
      </c>
      <c r="H5" s="567">
        <v>23620.22</v>
      </c>
      <c r="I5" s="568">
        <v>25240.880000000001</v>
      </c>
    </row>
    <row r="6" spans="1:9" ht="18" customHeight="1">
      <c r="A6" s="680"/>
      <c r="B6" s="683"/>
      <c r="C6" s="565" t="s">
        <v>649</v>
      </c>
      <c r="D6" s="566">
        <v>6729.723</v>
      </c>
      <c r="E6" s="567">
        <v>20148.36</v>
      </c>
      <c r="F6" s="567">
        <v>29377.79</v>
      </c>
      <c r="G6" s="567">
        <v>30935.83</v>
      </c>
      <c r="H6" s="567">
        <v>33741.11</v>
      </c>
      <c r="I6" s="568">
        <v>36040.879999999997</v>
      </c>
    </row>
    <row r="7" spans="1:9" ht="16.5" customHeight="1">
      <c r="A7" s="680"/>
      <c r="B7" s="683"/>
      <c r="C7" s="565" t="s">
        <v>27</v>
      </c>
      <c r="D7" s="566">
        <v>3142.7930000000001</v>
      </c>
      <c r="E7" s="569">
        <v>9307.902</v>
      </c>
      <c r="F7" s="569">
        <v>13178.63</v>
      </c>
      <c r="G7" s="569">
        <v>13524.56</v>
      </c>
      <c r="H7" s="569">
        <v>14390.38</v>
      </c>
      <c r="I7" s="570">
        <v>14971.71</v>
      </c>
    </row>
    <row r="8" spans="1:9" ht="14.25" customHeight="1">
      <c r="A8" s="681"/>
      <c r="B8" s="684"/>
      <c r="C8" s="571" t="s">
        <v>311</v>
      </c>
      <c r="D8" s="572">
        <v>0.74741860000000004</v>
      </c>
      <c r="E8" s="573">
        <v>0.85305799999999998</v>
      </c>
      <c r="F8" s="573">
        <v>0.82287529999999998</v>
      </c>
      <c r="G8" s="573">
        <v>0.77760130000000005</v>
      </c>
      <c r="H8" s="573">
        <v>0.82287529999999998</v>
      </c>
      <c r="I8" s="574">
        <v>0.71008740000000004</v>
      </c>
    </row>
    <row r="9" spans="1:9" ht="18" customHeight="1">
      <c r="A9" s="685" t="s">
        <v>312</v>
      </c>
      <c r="B9" s="686">
        <v>2714</v>
      </c>
      <c r="C9" s="565" t="s">
        <v>647</v>
      </c>
      <c r="D9" s="566">
        <v>51.43909</v>
      </c>
      <c r="E9" s="569">
        <v>2233.8020000000001</v>
      </c>
      <c r="F9" s="569">
        <v>2220.3049999999998</v>
      </c>
      <c r="G9" s="569">
        <v>917.04679999999996</v>
      </c>
      <c r="H9" s="569">
        <v>0</v>
      </c>
      <c r="I9" s="687" t="s">
        <v>253</v>
      </c>
    </row>
    <row r="10" spans="1:9" ht="21" customHeight="1">
      <c r="A10" s="680"/>
      <c r="B10" s="683"/>
      <c r="C10" s="565" t="s">
        <v>28</v>
      </c>
      <c r="D10" s="566">
        <v>2937.4029999999998</v>
      </c>
      <c r="E10" s="587">
        <v>7648.6570000000002</v>
      </c>
      <c r="F10" s="569">
        <v>11774.72</v>
      </c>
      <c r="G10" s="569">
        <v>12077.37</v>
      </c>
      <c r="H10" s="569">
        <v>12147.84</v>
      </c>
      <c r="I10" s="688"/>
    </row>
    <row r="11" spans="1:9" ht="17.25" customHeight="1">
      <c r="A11" s="680"/>
      <c r="B11" s="683"/>
      <c r="C11" s="565" t="s">
        <v>648</v>
      </c>
      <c r="D11" s="566">
        <v>4945.8370000000004</v>
      </c>
      <c r="E11" s="569">
        <v>13664.58</v>
      </c>
      <c r="F11" s="569">
        <v>20001.32</v>
      </c>
      <c r="G11" s="569">
        <v>21969.77</v>
      </c>
      <c r="H11" s="569">
        <v>23713</v>
      </c>
      <c r="I11" s="688"/>
    </row>
    <row r="12" spans="1:9" ht="17.25" customHeight="1">
      <c r="A12" s="680"/>
      <c r="B12" s="683"/>
      <c r="C12" s="565" t="s">
        <v>649</v>
      </c>
      <c r="D12" s="566">
        <v>6796.4740000000002</v>
      </c>
      <c r="E12" s="569">
        <v>20223.91</v>
      </c>
      <c r="F12" s="569">
        <v>29036.21</v>
      </c>
      <c r="G12" s="602">
        <v>31050.77</v>
      </c>
      <c r="H12" s="569">
        <v>33852.54</v>
      </c>
      <c r="I12" s="688"/>
    </row>
    <row r="13" spans="1:9" ht="18" customHeight="1">
      <c r="A13" s="680"/>
      <c r="B13" s="683"/>
      <c r="C13" s="565" t="s">
        <v>27</v>
      </c>
      <c r="D13" s="566">
        <v>3157.9589999999998</v>
      </c>
      <c r="E13" s="578">
        <v>9338.4660000000003</v>
      </c>
      <c r="F13" s="578">
        <v>13275.53</v>
      </c>
      <c r="G13" s="602">
        <v>13891.78</v>
      </c>
      <c r="H13" s="578">
        <v>14703.26</v>
      </c>
      <c r="I13" s="688"/>
    </row>
    <row r="14" spans="1:9" ht="20.25" customHeight="1">
      <c r="A14" s="681"/>
      <c r="B14" s="684"/>
      <c r="C14" s="571" t="s">
        <v>311</v>
      </c>
      <c r="D14" s="572">
        <v>0.75202650000000004</v>
      </c>
      <c r="E14" s="573">
        <v>0.8492999</v>
      </c>
      <c r="F14" s="573">
        <v>0.82240239999999998</v>
      </c>
      <c r="G14" s="573">
        <v>0.77855560000000001</v>
      </c>
      <c r="H14" s="573">
        <v>0.82240239999999998</v>
      </c>
      <c r="I14" s="689"/>
    </row>
    <row r="15" spans="1:9" ht="15" customHeight="1">
      <c r="A15" s="685" t="s">
        <v>313</v>
      </c>
      <c r="B15" s="686">
        <v>3737</v>
      </c>
      <c r="C15" s="565" t="s">
        <v>647</v>
      </c>
      <c r="D15" s="566">
        <v>113.6992</v>
      </c>
      <c r="E15" s="575">
        <v>2488.5880000000002</v>
      </c>
      <c r="F15" s="569">
        <v>2525.9630000000002</v>
      </c>
      <c r="G15" s="576">
        <v>834.38919999999996</v>
      </c>
      <c r="H15" s="690" t="s">
        <v>253</v>
      </c>
      <c r="I15" s="687" t="s">
        <v>253</v>
      </c>
    </row>
    <row r="16" spans="1:9" ht="17.25" customHeight="1">
      <c r="A16" s="680"/>
      <c r="B16" s="683"/>
      <c r="C16" s="565" t="s">
        <v>28</v>
      </c>
      <c r="D16" s="566">
        <v>2968.7049999999999</v>
      </c>
      <c r="E16" s="569">
        <v>7900.68</v>
      </c>
      <c r="F16" s="569">
        <v>12392.94</v>
      </c>
      <c r="G16" s="575">
        <v>12445.66</v>
      </c>
      <c r="H16" s="691"/>
      <c r="I16" s="688"/>
    </row>
    <row r="17" spans="1:9" ht="16.5" customHeight="1">
      <c r="A17" s="680"/>
      <c r="B17" s="683"/>
      <c r="C17" s="565" t="s">
        <v>648</v>
      </c>
      <c r="D17" s="566">
        <v>4961.2790000000005</v>
      </c>
      <c r="E17" s="575">
        <v>13817</v>
      </c>
      <c r="F17" s="569">
        <v>20818.64</v>
      </c>
      <c r="G17" s="569">
        <v>22495.9</v>
      </c>
      <c r="H17" s="691"/>
      <c r="I17" s="688"/>
    </row>
    <row r="18" spans="1:9" ht="15.75" customHeight="1">
      <c r="A18" s="680"/>
      <c r="B18" s="683"/>
      <c r="C18" s="565" t="s">
        <v>649</v>
      </c>
      <c r="D18" s="566">
        <v>6937.4189999999999</v>
      </c>
      <c r="E18" s="569">
        <v>20652.82</v>
      </c>
      <c r="F18" s="569">
        <v>29704.52</v>
      </c>
      <c r="G18" s="569">
        <v>31839.82</v>
      </c>
      <c r="H18" s="691"/>
      <c r="I18" s="688"/>
    </row>
    <row r="19" spans="1:9" ht="18" customHeight="1">
      <c r="A19" s="680"/>
      <c r="B19" s="683"/>
      <c r="C19" s="565" t="s">
        <v>27</v>
      </c>
      <c r="D19" s="566">
        <v>3213.1909999999998</v>
      </c>
      <c r="E19" s="569">
        <v>9564.0059999999994</v>
      </c>
      <c r="F19" s="569">
        <v>13786.78</v>
      </c>
      <c r="G19" s="569">
        <v>14312.84</v>
      </c>
      <c r="H19" s="691"/>
      <c r="I19" s="688"/>
    </row>
    <row r="20" spans="1:9" ht="15" customHeight="1">
      <c r="A20" s="681"/>
      <c r="B20" s="684"/>
      <c r="C20" s="571" t="s">
        <v>311</v>
      </c>
      <c r="D20" s="572">
        <v>0.75809470000000001</v>
      </c>
      <c r="E20" s="573">
        <v>0.84854160000000001</v>
      </c>
      <c r="F20" s="573">
        <v>0.82633129999999999</v>
      </c>
      <c r="G20" s="573">
        <v>0.77415040000000002</v>
      </c>
      <c r="H20" s="692"/>
      <c r="I20" s="689"/>
    </row>
    <row r="21" spans="1:9" ht="19.5" customHeight="1">
      <c r="A21" s="685" t="s">
        <v>314</v>
      </c>
      <c r="B21" s="686">
        <v>4757</v>
      </c>
      <c r="C21" s="565" t="s">
        <v>647</v>
      </c>
      <c r="D21" s="566">
        <v>180.61490000000001</v>
      </c>
      <c r="E21" s="569">
        <v>2758.279</v>
      </c>
      <c r="F21" s="569">
        <v>2634.6849999999999</v>
      </c>
      <c r="G21" s="691" t="s">
        <v>253</v>
      </c>
      <c r="H21" s="691" t="s">
        <v>253</v>
      </c>
      <c r="I21" s="687" t="s">
        <v>253</v>
      </c>
    </row>
    <row r="22" spans="1:9" ht="16.5" customHeight="1">
      <c r="A22" s="680"/>
      <c r="B22" s="683"/>
      <c r="C22" s="565" t="s">
        <v>28</v>
      </c>
      <c r="D22" s="566">
        <v>3027.797</v>
      </c>
      <c r="E22" s="569">
        <v>8032.92</v>
      </c>
      <c r="F22" s="569">
        <v>12638.58</v>
      </c>
      <c r="G22" s="691"/>
      <c r="H22" s="691"/>
      <c r="I22" s="688"/>
    </row>
    <row r="23" spans="1:9" ht="18" customHeight="1">
      <c r="A23" s="680"/>
      <c r="B23" s="683"/>
      <c r="C23" s="565" t="s">
        <v>648</v>
      </c>
      <c r="D23" s="566">
        <v>4990.0959999999995</v>
      </c>
      <c r="E23" s="569">
        <v>13960.08</v>
      </c>
      <c r="F23" s="569">
        <v>21177.75</v>
      </c>
      <c r="G23" s="691"/>
      <c r="H23" s="691"/>
      <c r="I23" s="688"/>
    </row>
    <row r="24" spans="1:9" ht="17.25" customHeight="1">
      <c r="A24" s="680"/>
      <c r="B24" s="683"/>
      <c r="C24" s="565" t="s">
        <v>649</v>
      </c>
      <c r="D24" s="566">
        <v>7030.0749999999998</v>
      </c>
      <c r="E24" s="569">
        <v>20534.580000000002</v>
      </c>
      <c r="F24" s="569">
        <v>29862.38</v>
      </c>
      <c r="G24" s="691"/>
      <c r="H24" s="691"/>
      <c r="I24" s="688"/>
    </row>
    <row r="25" spans="1:9" ht="17.25" customHeight="1">
      <c r="A25" s="680"/>
      <c r="B25" s="683"/>
      <c r="C25" s="565" t="s">
        <v>27</v>
      </c>
      <c r="D25" s="566">
        <v>3268.7849999999999</v>
      </c>
      <c r="E25" s="577">
        <v>9688.5419999999995</v>
      </c>
      <c r="F25" s="578">
        <v>14009.08</v>
      </c>
      <c r="G25" s="691"/>
      <c r="H25" s="691"/>
      <c r="I25" s="688"/>
    </row>
    <row r="26" spans="1:9" ht="15.75" customHeight="1" thickBot="1">
      <c r="A26" s="693"/>
      <c r="B26" s="694"/>
      <c r="C26" s="579" t="s">
        <v>311</v>
      </c>
      <c r="D26" s="580">
        <v>0.76413710000000001</v>
      </c>
      <c r="E26" s="581">
        <v>0.85368929999999998</v>
      </c>
      <c r="F26" s="581">
        <v>0.82762250000000004</v>
      </c>
      <c r="G26" s="695"/>
      <c r="H26" s="695"/>
      <c r="I26" s="696"/>
    </row>
    <row r="27" spans="1:9">
      <c r="D27" s="595"/>
      <c r="E27" s="596"/>
      <c r="F27" s="596"/>
      <c r="G27" s="596"/>
      <c r="H27" s="596"/>
      <c r="I27" s="596"/>
    </row>
    <row r="28" spans="1:9" ht="16.5" thickBot="1">
      <c r="D28" s="595"/>
      <c r="E28" s="596"/>
      <c r="F28" s="596"/>
      <c r="G28" s="596"/>
      <c r="H28" s="596"/>
      <c r="I28" s="596"/>
    </row>
    <row r="29" spans="1:9" ht="35.450000000000003" customHeight="1" thickBot="1">
      <c r="A29" s="676" t="s">
        <v>653</v>
      </c>
      <c r="B29" s="677"/>
      <c r="C29" s="677"/>
      <c r="D29" s="677"/>
      <c r="E29" s="677"/>
      <c r="F29" s="677"/>
      <c r="G29" s="677"/>
      <c r="H29" s="677"/>
      <c r="I29" s="678"/>
    </row>
    <row r="30" spans="1:9" ht="48" thickBot="1">
      <c r="A30" s="560" t="s">
        <v>41</v>
      </c>
      <c r="B30" s="561" t="s">
        <v>307</v>
      </c>
      <c r="C30" s="561" t="s">
        <v>308</v>
      </c>
      <c r="D30" s="562" t="s">
        <v>309</v>
      </c>
      <c r="E30" s="563" t="s">
        <v>633</v>
      </c>
      <c r="F30" s="563" t="s">
        <v>634</v>
      </c>
      <c r="G30" s="563" t="s">
        <v>635</v>
      </c>
      <c r="H30" s="563" t="s">
        <v>655</v>
      </c>
      <c r="I30" s="564" t="s">
        <v>636</v>
      </c>
    </row>
    <row r="31" spans="1:9" ht="19.5" customHeight="1">
      <c r="A31" s="679" t="s">
        <v>310</v>
      </c>
      <c r="B31" s="682">
        <v>1259</v>
      </c>
      <c r="C31" s="597" t="s">
        <v>647</v>
      </c>
      <c r="D31" s="598">
        <v>2283.114</v>
      </c>
      <c r="E31" s="599">
        <v>4593.5969999999998</v>
      </c>
      <c r="F31" s="599">
        <v>7276.8770000000004</v>
      </c>
      <c r="G31" s="599">
        <v>7451.6779999999999</v>
      </c>
      <c r="H31" s="599">
        <v>8900.3150000000005</v>
      </c>
      <c r="I31" s="600">
        <v>9865.0830000000005</v>
      </c>
    </row>
    <row r="32" spans="1:9" ht="17.25" customHeight="1">
      <c r="A32" s="680"/>
      <c r="B32" s="683"/>
      <c r="C32" s="565" t="s">
        <v>28</v>
      </c>
      <c r="D32" s="566">
        <v>3972.0329999999999</v>
      </c>
      <c r="E32" s="567">
        <v>9256.33</v>
      </c>
      <c r="F32" s="567">
        <v>14327.81</v>
      </c>
      <c r="G32" s="567">
        <v>15215.74</v>
      </c>
      <c r="H32" s="567">
        <v>17150.560000000001</v>
      </c>
      <c r="I32" s="568">
        <v>19270.900000000001</v>
      </c>
    </row>
    <row r="33" spans="1:9" ht="21.75" customHeight="1">
      <c r="A33" s="680"/>
      <c r="B33" s="683"/>
      <c r="C33" s="565" t="s">
        <v>648</v>
      </c>
      <c r="D33" s="566">
        <v>5620.62</v>
      </c>
      <c r="E33" s="567">
        <v>14658.24</v>
      </c>
      <c r="F33" s="567">
        <v>22124.1</v>
      </c>
      <c r="G33" s="567">
        <v>24765.599999999999</v>
      </c>
      <c r="H33" s="567">
        <v>26670.46</v>
      </c>
      <c r="I33" s="568">
        <v>29471.55</v>
      </c>
    </row>
    <row r="34" spans="1:9" ht="17.25" customHeight="1">
      <c r="A34" s="680"/>
      <c r="B34" s="683"/>
      <c r="C34" s="565" t="s">
        <v>649</v>
      </c>
      <c r="D34" s="566">
        <v>7451.9139999999998</v>
      </c>
      <c r="E34" s="567">
        <v>20953.38</v>
      </c>
      <c r="F34" s="567">
        <v>30821.11</v>
      </c>
      <c r="G34" s="567">
        <v>33880.379999999997</v>
      </c>
      <c r="H34" s="567">
        <v>37186.449999999997</v>
      </c>
      <c r="I34" s="568">
        <v>39469.35</v>
      </c>
    </row>
    <row r="35" spans="1:9" ht="18.75" customHeight="1">
      <c r="A35" s="680"/>
      <c r="B35" s="683"/>
      <c r="C35" s="571" t="s">
        <v>27</v>
      </c>
      <c r="D35" s="582">
        <v>4204.8639999999996</v>
      </c>
      <c r="E35" s="583">
        <v>10911.22</v>
      </c>
      <c r="F35" s="583">
        <v>16015.34</v>
      </c>
      <c r="G35" s="583">
        <v>17392.66</v>
      </c>
      <c r="H35" s="583">
        <v>19335.64</v>
      </c>
      <c r="I35" s="570">
        <v>21084.33</v>
      </c>
    </row>
    <row r="36" spans="1:9" ht="19.5" customHeight="1">
      <c r="A36" s="685" t="s">
        <v>312</v>
      </c>
      <c r="B36" s="686">
        <v>2714</v>
      </c>
      <c r="C36" s="565" t="s">
        <v>647</v>
      </c>
      <c r="D36" s="566">
        <v>2309.6019999999999</v>
      </c>
      <c r="E36" s="569">
        <v>4844.1419999999998</v>
      </c>
      <c r="F36" s="569">
        <v>7761.8540000000003</v>
      </c>
      <c r="G36" s="569">
        <v>8383.6450000000004</v>
      </c>
      <c r="H36" s="569">
        <v>9107.0499999999993</v>
      </c>
      <c r="I36" s="687" t="s">
        <v>253</v>
      </c>
    </row>
    <row r="37" spans="1:9" ht="17.25" customHeight="1">
      <c r="A37" s="680"/>
      <c r="B37" s="683"/>
      <c r="C37" s="565" t="s">
        <v>28</v>
      </c>
      <c r="D37" s="566">
        <v>3914.933</v>
      </c>
      <c r="E37" s="587">
        <v>9254.83</v>
      </c>
      <c r="F37" s="569">
        <v>14695.54</v>
      </c>
      <c r="G37" s="569">
        <v>16109.85</v>
      </c>
      <c r="H37" s="569">
        <v>17738.05</v>
      </c>
      <c r="I37" s="688"/>
    </row>
    <row r="38" spans="1:9" ht="17.25" customHeight="1">
      <c r="A38" s="680"/>
      <c r="B38" s="683"/>
      <c r="C38" s="565" t="s">
        <v>648</v>
      </c>
      <c r="D38" s="566">
        <v>5522.6030000000001</v>
      </c>
      <c r="E38" s="569">
        <v>14746.84</v>
      </c>
      <c r="F38" s="569">
        <v>22086.1</v>
      </c>
      <c r="G38" s="569">
        <v>24758.29</v>
      </c>
      <c r="H38" s="569">
        <v>27037.84</v>
      </c>
      <c r="I38" s="688"/>
    </row>
    <row r="39" spans="1:9" ht="17.25" customHeight="1">
      <c r="A39" s="680"/>
      <c r="B39" s="683"/>
      <c r="C39" s="565" t="s">
        <v>649</v>
      </c>
      <c r="D39" s="566">
        <v>7511.5950000000003</v>
      </c>
      <c r="E39" s="569">
        <v>21629.68</v>
      </c>
      <c r="F39" s="569">
        <v>30456.94</v>
      </c>
      <c r="G39" s="569">
        <v>33488.94</v>
      </c>
      <c r="H39" s="569">
        <v>37174.69</v>
      </c>
      <c r="I39" s="688"/>
    </row>
    <row r="40" spans="1:9" ht="16.5" customHeight="1">
      <c r="A40" s="680"/>
      <c r="B40" s="683"/>
      <c r="C40" s="571" t="s">
        <v>27</v>
      </c>
      <c r="D40" s="582">
        <v>4199.2659999999996</v>
      </c>
      <c r="E40" s="588">
        <v>10995.49</v>
      </c>
      <c r="F40" s="588">
        <v>16142.37</v>
      </c>
      <c r="G40" s="588">
        <v>17843.02</v>
      </c>
      <c r="H40" s="588">
        <v>19638.11</v>
      </c>
      <c r="I40" s="688"/>
    </row>
    <row r="41" spans="1:9" ht="17.25" customHeight="1">
      <c r="A41" s="685" t="s">
        <v>313</v>
      </c>
      <c r="B41" s="686">
        <v>3737</v>
      </c>
      <c r="C41" s="565" t="s">
        <v>647</v>
      </c>
      <c r="D41" s="566">
        <v>2309.2809999999999</v>
      </c>
      <c r="E41" s="575">
        <v>5033.232</v>
      </c>
      <c r="F41" s="569">
        <v>8063.9560000000001</v>
      </c>
      <c r="G41" s="569">
        <v>8908.9650000000001</v>
      </c>
      <c r="H41" s="691" t="s">
        <v>253</v>
      </c>
      <c r="I41" s="687" t="s">
        <v>253</v>
      </c>
    </row>
    <row r="42" spans="1:9" ht="18.75" customHeight="1">
      <c r="A42" s="680"/>
      <c r="B42" s="683"/>
      <c r="C42" s="565" t="s">
        <v>28</v>
      </c>
      <c r="D42" s="566">
        <v>3941.9540000000002</v>
      </c>
      <c r="E42" s="569">
        <v>9580.7900000000009</v>
      </c>
      <c r="F42" s="569">
        <v>15202.29</v>
      </c>
      <c r="G42" s="575">
        <v>16731.8</v>
      </c>
      <c r="H42" s="691"/>
      <c r="I42" s="688"/>
    </row>
    <row r="43" spans="1:9" ht="18.75" customHeight="1">
      <c r="A43" s="680"/>
      <c r="B43" s="683"/>
      <c r="C43" s="565" t="s">
        <v>648</v>
      </c>
      <c r="D43" s="566">
        <v>5542.0969999999998</v>
      </c>
      <c r="E43" s="575">
        <v>15052.77</v>
      </c>
      <c r="F43" s="569">
        <v>22836.43</v>
      </c>
      <c r="G43" s="569">
        <v>25201.41</v>
      </c>
      <c r="H43" s="691"/>
      <c r="I43" s="688"/>
    </row>
    <row r="44" spans="1:9" ht="18" customHeight="1">
      <c r="A44" s="680"/>
      <c r="B44" s="683"/>
      <c r="C44" s="565" t="s">
        <v>649</v>
      </c>
      <c r="D44" s="566">
        <v>7606.5860000000002</v>
      </c>
      <c r="E44" s="569">
        <v>21972.799999999999</v>
      </c>
      <c r="F44" s="569">
        <v>31168.58</v>
      </c>
      <c r="G44" s="569">
        <v>34497.699999999997</v>
      </c>
      <c r="H44" s="691"/>
      <c r="I44" s="688"/>
    </row>
    <row r="45" spans="1:9" ht="20.25" customHeight="1">
      <c r="A45" s="680"/>
      <c r="B45" s="683"/>
      <c r="C45" s="571" t="s">
        <v>27</v>
      </c>
      <c r="D45" s="582">
        <v>4238.509</v>
      </c>
      <c r="E45" s="583">
        <v>11271.11</v>
      </c>
      <c r="F45" s="583">
        <v>16684.32</v>
      </c>
      <c r="G45" s="583">
        <v>18488.45</v>
      </c>
      <c r="H45" s="692"/>
      <c r="I45" s="688"/>
    </row>
    <row r="46" spans="1:9" ht="16.5" customHeight="1">
      <c r="A46" s="685" t="s">
        <v>314</v>
      </c>
      <c r="B46" s="686">
        <v>4757</v>
      </c>
      <c r="C46" s="565" t="s">
        <v>647</v>
      </c>
      <c r="D46" s="566">
        <v>2351.9789999999998</v>
      </c>
      <c r="E46" s="569">
        <v>5081.0469999999996</v>
      </c>
      <c r="F46" s="569">
        <v>8257.2189999999991</v>
      </c>
      <c r="G46" s="691" t="s">
        <v>253</v>
      </c>
      <c r="H46" s="691" t="s">
        <v>253</v>
      </c>
      <c r="I46" s="687" t="s">
        <v>253</v>
      </c>
    </row>
    <row r="47" spans="1:9" ht="18.75" customHeight="1">
      <c r="A47" s="680"/>
      <c r="B47" s="683"/>
      <c r="C47" s="565" t="s">
        <v>28</v>
      </c>
      <c r="D47" s="566">
        <v>3947.8040000000001</v>
      </c>
      <c r="E47" s="569">
        <v>9582.2739999999994</v>
      </c>
      <c r="F47" s="569">
        <v>15463.02</v>
      </c>
      <c r="G47" s="691"/>
      <c r="H47" s="691"/>
      <c r="I47" s="688"/>
    </row>
    <row r="48" spans="1:9" ht="18.75" customHeight="1">
      <c r="A48" s="680"/>
      <c r="B48" s="683"/>
      <c r="C48" s="565" t="s">
        <v>648</v>
      </c>
      <c r="D48" s="566">
        <v>5599.3329999999996</v>
      </c>
      <c r="E48" s="569">
        <v>15208.46</v>
      </c>
      <c r="F48" s="569">
        <v>23186.9</v>
      </c>
      <c r="G48" s="691"/>
      <c r="H48" s="691"/>
      <c r="I48" s="688"/>
    </row>
    <row r="49" spans="1:9" ht="15.75" customHeight="1">
      <c r="A49" s="680"/>
      <c r="B49" s="683"/>
      <c r="C49" s="565" t="s">
        <v>649</v>
      </c>
      <c r="D49" s="566">
        <v>7606.5860000000002</v>
      </c>
      <c r="E49" s="569">
        <v>21806.19</v>
      </c>
      <c r="F49" s="569">
        <v>31512.17</v>
      </c>
      <c r="G49" s="691"/>
      <c r="H49" s="691"/>
      <c r="I49" s="688"/>
    </row>
    <row r="50" spans="1:9" ht="16.5" customHeight="1" thickBot="1">
      <c r="A50" s="693"/>
      <c r="B50" s="694"/>
      <c r="C50" s="579" t="s">
        <v>27</v>
      </c>
      <c r="D50" s="590">
        <v>4277.7470000000003</v>
      </c>
      <c r="E50" s="591">
        <v>11349.03</v>
      </c>
      <c r="F50" s="592">
        <v>16926.900000000001</v>
      </c>
      <c r="G50" s="695"/>
      <c r="H50" s="695"/>
      <c r="I50" s="696"/>
    </row>
    <row r="51" spans="1:9">
      <c r="A51" s="674" t="s">
        <v>637</v>
      </c>
      <c r="B51" s="674"/>
      <c r="C51" s="674"/>
      <c r="D51" s="674"/>
      <c r="E51" s="674"/>
      <c r="F51" s="674"/>
      <c r="G51" s="674"/>
      <c r="H51" s="674"/>
      <c r="I51" s="674"/>
    </row>
    <row r="52" spans="1:9">
      <c r="A52" s="674"/>
      <c r="B52" s="674"/>
      <c r="C52" s="674"/>
      <c r="D52" s="674"/>
      <c r="E52" s="674"/>
      <c r="F52" s="674"/>
      <c r="G52" s="674"/>
      <c r="H52" s="674"/>
      <c r="I52" s="674"/>
    </row>
    <row r="53" spans="1:9" ht="14.45" customHeight="1">
      <c r="A53" s="675" t="s">
        <v>646</v>
      </c>
      <c r="B53" s="675"/>
      <c r="C53" s="675"/>
      <c r="D53" s="675"/>
      <c r="E53" s="675"/>
      <c r="F53" s="675"/>
      <c r="G53" s="675"/>
      <c r="H53" s="675"/>
      <c r="I53" s="675"/>
    </row>
    <row r="54" spans="1:9" ht="49.9" customHeight="1">
      <c r="A54" s="675"/>
      <c r="B54" s="675"/>
      <c r="C54" s="675"/>
      <c r="D54" s="675"/>
      <c r="E54" s="675"/>
      <c r="F54" s="675"/>
      <c r="G54" s="675"/>
      <c r="H54" s="675"/>
      <c r="I54" s="675"/>
    </row>
    <row r="55" spans="1:9" ht="18" customHeight="1"/>
    <row r="56" spans="1:9" ht="17.25" customHeight="1"/>
    <row r="57" spans="1:9" ht="21" customHeight="1"/>
    <row r="58" spans="1:9" ht="16.5" customHeight="1"/>
    <row r="59" spans="1:9" ht="15.75" customHeight="1"/>
    <row r="60" spans="1:9" ht="18.75" customHeight="1"/>
    <row r="61" spans="1:9" ht="18.75" customHeight="1"/>
    <row r="62" spans="1:9" ht="18" customHeight="1"/>
    <row r="63" spans="1:9" ht="17.25" customHeight="1"/>
    <row r="64" spans="1:9" ht="16.5" customHeight="1"/>
    <row r="65" ht="16.5" customHeight="1"/>
    <row r="66" ht="15.75" customHeight="1"/>
    <row r="67" ht="15.75" customHeight="1"/>
    <row r="68" ht="16.5" customHeight="1"/>
    <row r="69" ht="15" customHeight="1"/>
    <row r="70" ht="14.25" customHeight="1"/>
    <row r="71" ht="17.25" customHeight="1"/>
    <row r="72" ht="16.5" customHeight="1"/>
    <row r="73" ht="17.25" customHeight="1"/>
    <row r="74" ht="14.25" customHeight="1"/>
    <row r="75" ht="14.25" customHeight="1"/>
    <row r="76" ht="15" customHeight="1"/>
  </sheetData>
  <mergeCells count="32">
    <mergeCell ref="A41:A45"/>
    <mergeCell ref="B41:B45"/>
    <mergeCell ref="H41:H45"/>
    <mergeCell ref="I41:I45"/>
    <mergeCell ref="A46:A50"/>
    <mergeCell ref="B46:B50"/>
    <mergeCell ref="G46:G50"/>
    <mergeCell ref="H46:H50"/>
    <mergeCell ref="I46:I50"/>
    <mergeCell ref="I21:I26"/>
    <mergeCell ref="A29:I29"/>
    <mergeCell ref="A31:A35"/>
    <mergeCell ref="B31:B35"/>
    <mergeCell ref="A36:A40"/>
    <mergeCell ref="B36:B40"/>
    <mergeCell ref="I36:I40"/>
    <mergeCell ref="A51:I52"/>
    <mergeCell ref="A53:I54"/>
    <mergeCell ref="A1:I1"/>
    <mergeCell ref="A3:A8"/>
    <mergeCell ref="B3:B8"/>
    <mergeCell ref="A9:A14"/>
    <mergeCell ref="B9:B14"/>
    <mergeCell ref="I9:I14"/>
    <mergeCell ref="A15:A20"/>
    <mergeCell ref="B15:B20"/>
    <mergeCell ref="H15:H20"/>
    <mergeCell ref="I15:I20"/>
    <mergeCell ref="A21:A26"/>
    <mergeCell ref="B21:B26"/>
    <mergeCell ref="G21:G26"/>
    <mergeCell ref="H21:H2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7" workbookViewId="0">
      <selection activeCell="A53" sqref="A53:I54"/>
    </sheetView>
  </sheetViews>
  <sheetFormatPr defaultColWidth="8.85546875" defaultRowHeight="15.75"/>
  <cols>
    <col min="1" max="1" width="19.5703125" style="559" customWidth="1"/>
    <col min="2" max="2" width="8.85546875" style="559"/>
    <col min="3" max="3" width="31.7109375" style="559" customWidth="1"/>
    <col min="4" max="4" width="8.85546875" style="559"/>
    <col min="5" max="9" width="16.140625" style="559" customWidth="1"/>
    <col min="10" max="16384" width="8.85546875" style="559"/>
  </cols>
  <sheetData>
    <row r="1" spans="1:9" ht="16.5" thickBot="1">
      <c r="A1" s="676" t="s">
        <v>644</v>
      </c>
      <c r="B1" s="677"/>
      <c r="C1" s="677"/>
      <c r="D1" s="677"/>
      <c r="E1" s="677"/>
      <c r="F1" s="677"/>
      <c r="G1" s="677"/>
      <c r="H1" s="677"/>
      <c r="I1" s="678"/>
    </row>
    <row r="2" spans="1:9" ht="48" thickBot="1">
      <c r="A2" s="560" t="s">
        <v>41</v>
      </c>
      <c r="B2" s="561" t="s">
        <v>307</v>
      </c>
      <c r="C2" s="561" t="s">
        <v>308</v>
      </c>
      <c r="D2" s="562" t="s">
        <v>309</v>
      </c>
      <c r="E2" s="563" t="s">
        <v>633</v>
      </c>
      <c r="F2" s="563" t="s">
        <v>634</v>
      </c>
      <c r="G2" s="563" t="s">
        <v>635</v>
      </c>
      <c r="H2" s="563" t="s">
        <v>655</v>
      </c>
      <c r="I2" s="564" t="s">
        <v>636</v>
      </c>
    </row>
    <row r="3" spans="1:9">
      <c r="A3" s="679" t="s">
        <v>310</v>
      </c>
      <c r="B3" s="682">
        <v>2476</v>
      </c>
      <c r="C3" s="565" t="s">
        <v>647</v>
      </c>
      <c r="D3" s="566">
        <v>0</v>
      </c>
      <c r="E3" s="567">
        <v>0</v>
      </c>
      <c r="F3" s="567">
        <v>0</v>
      </c>
      <c r="G3" s="567">
        <v>0</v>
      </c>
      <c r="H3" s="567">
        <v>0</v>
      </c>
      <c r="I3" s="568">
        <v>0</v>
      </c>
    </row>
    <row r="4" spans="1:9">
      <c r="A4" s="680"/>
      <c r="B4" s="683"/>
      <c r="C4" s="565" t="s">
        <v>28</v>
      </c>
      <c r="D4" s="566">
        <v>109.59829999999999</v>
      </c>
      <c r="E4" s="567">
        <v>1491.181</v>
      </c>
      <c r="F4" s="567">
        <v>2623.6289999999999</v>
      </c>
      <c r="G4" s="567">
        <v>2254.2460000000001</v>
      </c>
      <c r="H4" s="567">
        <v>2285.7979999999998</v>
      </c>
      <c r="I4" s="568">
        <v>1916.046</v>
      </c>
    </row>
    <row r="5" spans="1:9">
      <c r="A5" s="680"/>
      <c r="B5" s="683"/>
      <c r="C5" s="565" t="s">
        <v>648</v>
      </c>
      <c r="D5" s="566">
        <v>2530.1190000000001</v>
      </c>
      <c r="E5" s="567">
        <v>6453.68</v>
      </c>
      <c r="F5" s="567">
        <v>11205.41</v>
      </c>
      <c r="G5" s="567">
        <v>13181.87</v>
      </c>
      <c r="H5" s="567">
        <v>13939.78</v>
      </c>
      <c r="I5" s="568">
        <v>15152.21</v>
      </c>
    </row>
    <row r="6" spans="1:9">
      <c r="A6" s="680"/>
      <c r="B6" s="683"/>
      <c r="C6" s="565" t="s">
        <v>649</v>
      </c>
      <c r="D6" s="566">
        <v>4473.384</v>
      </c>
      <c r="E6" s="567">
        <v>12347.74</v>
      </c>
      <c r="F6" s="567">
        <v>20136</v>
      </c>
      <c r="G6" s="567">
        <v>22905.31</v>
      </c>
      <c r="H6" s="567">
        <v>25441.42</v>
      </c>
      <c r="I6" s="568">
        <v>26449.25</v>
      </c>
    </row>
    <row r="7" spans="1:9">
      <c r="A7" s="680"/>
      <c r="B7" s="683"/>
      <c r="C7" s="565" t="s">
        <v>27</v>
      </c>
      <c r="D7" s="566">
        <v>1491.0070000000001</v>
      </c>
      <c r="E7" s="569">
        <v>4340.2650000000003</v>
      </c>
      <c r="F7" s="569">
        <v>7139.1869999999999</v>
      </c>
      <c r="G7" s="569">
        <v>8003.3190000000004</v>
      </c>
      <c r="H7" s="569">
        <v>8627.9069999999992</v>
      </c>
      <c r="I7" s="570">
        <v>9087.5409999999993</v>
      </c>
    </row>
    <row r="8" spans="1:9">
      <c r="A8" s="681"/>
      <c r="B8" s="684"/>
      <c r="C8" s="571" t="s">
        <v>311</v>
      </c>
      <c r="D8" s="572">
        <v>0.51857839999999999</v>
      </c>
      <c r="E8" s="573">
        <v>0.67366720000000002</v>
      </c>
      <c r="F8" s="573">
        <v>0.64903069999999996</v>
      </c>
      <c r="G8" s="573">
        <v>0.62520189999999998</v>
      </c>
      <c r="H8" s="573">
        <v>0.64903069999999996</v>
      </c>
      <c r="I8" s="574">
        <v>0.58683359999999996</v>
      </c>
    </row>
    <row r="9" spans="1:9">
      <c r="A9" s="685" t="s">
        <v>312</v>
      </c>
      <c r="B9" s="686">
        <v>5466</v>
      </c>
      <c r="C9" s="565" t="s">
        <v>647</v>
      </c>
      <c r="D9" s="566">
        <v>0</v>
      </c>
      <c r="E9" s="569">
        <v>0</v>
      </c>
      <c r="F9" s="569">
        <v>0</v>
      </c>
      <c r="G9" s="569">
        <v>0</v>
      </c>
      <c r="H9" s="569">
        <v>0</v>
      </c>
      <c r="I9" s="687" t="s">
        <v>253</v>
      </c>
    </row>
    <row r="10" spans="1:9">
      <c r="A10" s="680"/>
      <c r="B10" s="683"/>
      <c r="C10" s="565" t="s">
        <v>28</v>
      </c>
      <c r="D10" s="566">
        <v>205.8766</v>
      </c>
      <c r="E10" s="587">
        <v>1685.953</v>
      </c>
      <c r="F10" s="569">
        <v>2876.7159999999999</v>
      </c>
      <c r="G10" s="569">
        <v>2888.8980000000001</v>
      </c>
      <c r="H10" s="569">
        <v>2663.8539999999998</v>
      </c>
      <c r="I10" s="688"/>
    </row>
    <row r="11" spans="1:9">
      <c r="A11" s="680"/>
      <c r="B11" s="683"/>
      <c r="C11" s="565" t="s">
        <v>648</v>
      </c>
      <c r="D11" s="566">
        <v>2602.0129999999999</v>
      </c>
      <c r="E11" s="569">
        <v>6807.674</v>
      </c>
      <c r="F11" s="569">
        <v>12148.82</v>
      </c>
      <c r="G11" s="569">
        <v>14032.48</v>
      </c>
      <c r="H11" s="569">
        <v>15382.98</v>
      </c>
      <c r="I11" s="688"/>
    </row>
    <row r="12" spans="1:9">
      <c r="A12" s="680"/>
      <c r="B12" s="683"/>
      <c r="C12" s="565" t="s">
        <v>649</v>
      </c>
      <c r="D12" s="566">
        <v>4579.6540000000005</v>
      </c>
      <c r="E12" s="569">
        <v>13070.2</v>
      </c>
      <c r="F12" s="569">
        <v>21158.78</v>
      </c>
      <c r="G12" s="569">
        <v>24111.599999999999</v>
      </c>
      <c r="H12" s="569">
        <v>26576.41</v>
      </c>
      <c r="I12" s="688"/>
    </row>
    <row r="13" spans="1:9">
      <c r="A13" s="680"/>
      <c r="B13" s="683"/>
      <c r="C13" s="565" t="s">
        <v>27</v>
      </c>
      <c r="D13" s="566">
        <v>1550.154</v>
      </c>
      <c r="E13" s="578">
        <v>4602.0630000000001</v>
      </c>
      <c r="F13" s="578">
        <v>7462.6729999999998</v>
      </c>
      <c r="G13" s="578">
        <v>8410.1389999999992</v>
      </c>
      <c r="H13" s="578">
        <v>9087.8629999999994</v>
      </c>
      <c r="I13" s="688"/>
    </row>
    <row r="14" spans="1:9">
      <c r="A14" s="681"/>
      <c r="B14" s="684"/>
      <c r="C14" s="571" t="s">
        <v>311</v>
      </c>
      <c r="D14" s="572">
        <v>0.53183320000000001</v>
      </c>
      <c r="E14" s="573">
        <v>0.67746070000000003</v>
      </c>
      <c r="F14" s="573">
        <v>0.65221370000000001</v>
      </c>
      <c r="G14" s="573">
        <v>0.62550309999999998</v>
      </c>
      <c r="H14" s="573">
        <v>0.65221370000000001</v>
      </c>
      <c r="I14" s="689"/>
    </row>
    <row r="15" spans="1:9">
      <c r="A15" s="685" t="s">
        <v>313</v>
      </c>
      <c r="B15" s="686">
        <v>7505</v>
      </c>
      <c r="C15" s="565" t="s">
        <v>647</v>
      </c>
      <c r="D15" s="566">
        <v>0</v>
      </c>
      <c r="E15" s="575">
        <v>0</v>
      </c>
      <c r="F15" s="569">
        <v>0</v>
      </c>
      <c r="G15" s="576">
        <v>0</v>
      </c>
      <c r="H15" s="690" t="s">
        <v>253</v>
      </c>
      <c r="I15" s="687" t="s">
        <v>253</v>
      </c>
    </row>
    <row r="16" spans="1:9">
      <c r="A16" s="680"/>
      <c r="B16" s="683"/>
      <c r="C16" s="565" t="s">
        <v>28</v>
      </c>
      <c r="D16" s="566">
        <v>255.62719999999999</v>
      </c>
      <c r="E16" s="569">
        <v>1822.9359999999999</v>
      </c>
      <c r="F16" s="569">
        <v>3295.1889999999999</v>
      </c>
      <c r="G16" s="575">
        <v>3238.8040000000001</v>
      </c>
      <c r="H16" s="691"/>
      <c r="I16" s="688"/>
    </row>
    <row r="17" spans="1:9">
      <c r="A17" s="680"/>
      <c r="B17" s="683"/>
      <c r="C17" s="565" t="s">
        <v>648</v>
      </c>
      <c r="D17" s="566">
        <v>2651.152</v>
      </c>
      <c r="E17" s="575">
        <v>7068.1840000000002</v>
      </c>
      <c r="F17" s="569">
        <v>12594.41</v>
      </c>
      <c r="G17" s="569">
        <v>14395.29</v>
      </c>
      <c r="H17" s="691"/>
      <c r="I17" s="688"/>
    </row>
    <row r="18" spans="1:9">
      <c r="A18" s="680"/>
      <c r="B18" s="683"/>
      <c r="C18" s="565" t="s">
        <v>649</v>
      </c>
      <c r="D18" s="566">
        <v>4665.9440000000004</v>
      </c>
      <c r="E18" s="569">
        <v>13684.41</v>
      </c>
      <c r="F18" s="569">
        <v>21703.24</v>
      </c>
      <c r="G18" s="569">
        <v>24734.1</v>
      </c>
      <c r="H18" s="691"/>
      <c r="I18" s="688"/>
    </row>
    <row r="19" spans="1:9">
      <c r="A19" s="680"/>
      <c r="B19" s="683"/>
      <c r="C19" s="565" t="s">
        <v>27</v>
      </c>
      <c r="D19" s="566">
        <v>1583.373</v>
      </c>
      <c r="E19" s="569">
        <v>4839.4120000000003</v>
      </c>
      <c r="F19" s="569">
        <v>7769.7560000000003</v>
      </c>
      <c r="G19" s="569">
        <v>8685.1270000000004</v>
      </c>
      <c r="H19" s="691"/>
      <c r="I19" s="688"/>
    </row>
    <row r="20" spans="1:9">
      <c r="A20" s="681"/>
      <c r="B20" s="684"/>
      <c r="C20" s="571" t="s">
        <v>311</v>
      </c>
      <c r="D20" s="572">
        <v>0.53950699999999996</v>
      </c>
      <c r="E20" s="573">
        <v>0.68341110000000005</v>
      </c>
      <c r="F20" s="573">
        <v>0.66075950000000006</v>
      </c>
      <c r="G20" s="573">
        <v>0.62944699999999998</v>
      </c>
      <c r="H20" s="692"/>
      <c r="I20" s="689"/>
    </row>
    <row r="21" spans="1:9">
      <c r="A21" s="685" t="s">
        <v>314</v>
      </c>
      <c r="B21" s="686">
        <v>9614</v>
      </c>
      <c r="C21" s="565" t="s">
        <v>647</v>
      </c>
      <c r="D21" s="566">
        <v>0</v>
      </c>
      <c r="E21" s="569">
        <v>0</v>
      </c>
      <c r="F21" s="569">
        <v>0</v>
      </c>
      <c r="G21" s="691" t="s">
        <v>253</v>
      </c>
      <c r="H21" s="691" t="s">
        <v>253</v>
      </c>
      <c r="I21" s="687" t="s">
        <v>253</v>
      </c>
    </row>
    <row r="22" spans="1:9">
      <c r="A22" s="680"/>
      <c r="B22" s="683"/>
      <c r="C22" s="565" t="s">
        <v>28</v>
      </c>
      <c r="D22" s="566">
        <v>367.20010000000002</v>
      </c>
      <c r="E22" s="569">
        <v>2090.7600000000002</v>
      </c>
      <c r="F22" s="569">
        <v>3710.7840000000001</v>
      </c>
      <c r="G22" s="691"/>
      <c r="H22" s="691"/>
      <c r="I22" s="688"/>
    </row>
    <row r="23" spans="1:9">
      <c r="A23" s="680"/>
      <c r="B23" s="683"/>
      <c r="C23" s="565" t="s">
        <v>648</v>
      </c>
      <c r="D23" s="566">
        <v>2713.5479999999998</v>
      </c>
      <c r="E23" s="569">
        <v>7523.6139999999996</v>
      </c>
      <c r="F23" s="569">
        <v>13048.48</v>
      </c>
      <c r="G23" s="691"/>
      <c r="H23" s="691"/>
      <c r="I23" s="688"/>
    </row>
    <row r="24" spans="1:9">
      <c r="A24" s="680"/>
      <c r="B24" s="683"/>
      <c r="C24" s="565" t="s">
        <v>649</v>
      </c>
      <c r="D24" s="566">
        <v>4823.2479999999996</v>
      </c>
      <c r="E24" s="569">
        <v>14315.87</v>
      </c>
      <c r="F24" s="569">
        <v>22219.759999999998</v>
      </c>
      <c r="G24" s="691"/>
      <c r="H24" s="691"/>
      <c r="I24" s="688"/>
    </row>
    <row r="25" spans="1:9">
      <c r="A25" s="680"/>
      <c r="B25" s="683"/>
      <c r="C25" s="565" t="s">
        <v>27</v>
      </c>
      <c r="D25" s="566">
        <v>1635.548</v>
      </c>
      <c r="E25" s="577">
        <v>5132.9579999999996</v>
      </c>
      <c r="F25" s="578">
        <v>8077.8860000000004</v>
      </c>
      <c r="G25" s="691"/>
      <c r="H25" s="691"/>
      <c r="I25" s="688"/>
    </row>
    <row r="26" spans="1:9" ht="16.5" thickBot="1">
      <c r="A26" s="693"/>
      <c r="B26" s="694"/>
      <c r="C26" s="579" t="s">
        <v>311</v>
      </c>
      <c r="D26" s="580">
        <v>0.55564800000000003</v>
      </c>
      <c r="E26" s="581">
        <v>0.69586020000000004</v>
      </c>
      <c r="F26" s="581">
        <v>0.67058459999999998</v>
      </c>
      <c r="G26" s="695"/>
      <c r="H26" s="695"/>
      <c r="I26" s="696"/>
    </row>
    <row r="28" spans="1:9" ht="16.5" thickBot="1"/>
    <row r="29" spans="1:9" ht="30.6" customHeight="1" thickBot="1">
      <c r="A29" s="676" t="s">
        <v>654</v>
      </c>
      <c r="B29" s="677"/>
      <c r="C29" s="677"/>
      <c r="D29" s="677"/>
      <c r="E29" s="677"/>
      <c r="F29" s="677"/>
      <c r="G29" s="677"/>
      <c r="H29" s="677"/>
      <c r="I29" s="678"/>
    </row>
    <row r="30" spans="1:9" ht="48" thickBot="1">
      <c r="A30" s="560" t="s">
        <v>41</v>
      </c>
      <c r="B30" s="561" t="s">
        <v>307</v>
      </c>
      <c r="C30" s="561" t="s">
        <v>308</v>
      </c>
      <c r="D30" s="562" t="s">
        <v>309</v>
      </c>
      <c r="E30" s="563" t="s">
        <v>633</v>
      </c>
      <c r="F30" s="563" t="s">
        <v>634</v>
      </c>
      <c r="G30" s="563" t="s">
        <v>635</v>
      </c>
      <c r="H30" s="563" t="s">
        <v>655</v>
      </c>
      <c r="I30" s="564" t="s">
        <v>636</v>
      </c>
    </row>
    <row r="31" spans="1:9">
      <c r="A31" s="679" t="s">
        <v>310</v>
      </c>
      <c r="B31" s="682">
        <v>2476</v>
      </c>
      <c r="C31" s="597" t="s">
        <v>647</v>
      </c>
      <c r="D31" s="598">
        <v>998.72339999999997</v>
      </c>
      <c r="E31" s="599">
        <v>1415.134</v>
      </c>
      <c r="F31" s="599">
        <v>2903.8209999999999</v>
      </c>
      <c r="G31" s="599">
        <v>3267.1970000000001</v>
      </c>
      <c r="H31" s="599">
        <v>4151.5169999999998</v>
      </c>
      <c r="I31" s="600">
        <v>4326.3999999999996</v>
      </c>
    </row>
    <row r="32" spans="1:9">
      <c r="A32" s="680"/>
      <c r="B32" s="683"/>
      <c r="C32" s="565" t="s">
        <v>28</v>
      </c>
      <c r="D32" s="566">
        <v>2419.7840000000001</v>
      </c>
      <c r="E32" s="567">
        <v>4149.4309999999996</v>
      </c>
      <c r="F32" s="567">
        <v>8514.6020000000008</v>
      </c>
      <c r="G32" s="567">
        <v>10065.620000000001</v>
      </c>
      <c r="H32" s="567">
        <v>11163.73</v>
      </c>
      <c r="I32" s="568">
        <v>12432.66</v>
      </c>
    </row>
    <row r="33" spans="1:9">
      <c r="A33" s="680"/>
      <c r="B33" s="683"/>
      <c r="C33" s="565" t="s">
        <v>648</v>
      </c>
      <c r="D33" s="566">
        <v>4047.056</v>
      </c>
      <c r="E33" s="567">
        <v>9129.7000000000007</v>
      </c>
      <c r="F33" s="567">
        <v>15938.27</v>
      </c>
      <c r="G33" s="567">
        <v>18831.59</v>
      </c>
      <c r="H33" s="567">
        <v>20771.71</v>
      </c>
      <c r="I33" s="568">
        <v>22186.92</v>
      </c>
    </row>
    <row r="34" spans="1:9">
      <c r="A34" s="680"/>
      <c r="B34" s="683"/>
      <c r="C34" s="565" t="s">
        <v>649</v>
      </c>
      <c r="D34" s="566">
        <v>5785.4809999999998</v>
      </c>
      <c r="E34" s="567">
        <v>14941.56</v>
      </c>
      <c r="F34" s="567">
        <v>24384.92</v>
      </c>
      <c r="G34" s="567">
        <v>27588.93</v>
      </c>
      <c r="H34" s="567">
        <v>30730.77</v>
      </c>
      <c r="I34" s="568">
        <v>32825.31</v>
      </c>
    </row>
    <row r="35" spans="1:9">
      <c r="A35" s="680"/>
      <c r="B35" s="683"/>
      <c r="C35" s="571" t="s">
        <v>27</v>
      </c>
      <c r="D35" s="582">
        <v>2875.1819999999998</v>
      </c>
      <c r="E35" s="583">
        <v>6442.7430000000004</v>
      </c>
      <c r="F35" s="583">
        <v>10999.77</v>
      </c>
      <c r="G35" s="583">
        <v>12801.17</v>
      </c>
      <c r="H35" s="583">
        <v>14251.3</v>
      </c>
      <c r="I35" s="570">
        <v>15485.72</v>
      </c>
    </row>
    <row r="36" spans="1:9">
      <c r="A36" s="685" t="s">
        <v>312</v>
      </c>
      <c r="B36" s="686">
        <v>5466</v>
      </c>
      <c r="C36" s="565" t="s">
        <v>647</v>
      </c>
      <c r="D36" s="566">
        <v>1039.3209999999999</v>
      </c>
      <c r="E36" s="569">
        <v>1586.7439999999999</v>
      </c>
      <c r="F36" s="569">
        <v>3212.2979999999998</v>
      </c>
      <c r="G36" s="569">
        <v>4023.3539999999998</v>
      </c>
      <c r="H36" s="569">
        <v>4593.4639999999999</v>
      </c>
      <c r="I36" s="687" t="s">
        <v>253</v>
      </c>
    </row>
    <row r="37" spans="1:9">
      <c r="A37" s="680"/>
      <c r="B37" s="683"/>
      <c r="C37" s="565" t="s">
        <v>28</v>
      </c>
      <c r="D37" s="566">
        <v>2435.777</v>
      </c>
      <c r="E37" s="587">
        <v>4430.527</v>
      </c>
      <c r="F37" s="569">
        <v>9118.4290000000001</v>
      </c>
      <c r="G37" s="569">
        <v>11025.43</v>
      </c>
      <c r="H37" s="569">
        <v>12197.73</v>
      </c>
      <c r="I37" s="688"/>
    </row>
    <row r="38" spans="1:9">
      <c r="A38" s="680"/>
      <c r="B38" s="683"/>
      <c r="C38" s="565" t="s">
        <v>648</v>
      </c>
      <c r="D38" s="566">
        <v>4044.9319999999998</v>
      </c>
      <c r="E38" s="569">
        <v>9504.6569999999992</v>
      </c>
      <c r="F38" s="569">
        <v>16724.419999999998</v>
      </c>
      <c r="G38" s="569">
        <v>19665.11</v>
      </c>
      <c r="H38" s="569">
        <v>21736.17</v>
      </c>
      <c r="I38" s="688"/>
    </row>
    <row r="39" spans="1:9">
      <c r="A39" s="680"/>
      <c r="B39" s="683"/>
      <c r="C39" s="565" t="s">
        <v>649</v>
      </c>
      <c r="D39" s="566">
        <v>5936.6980000000003</v>
      </c>
      <c r="E39" s="569">
        <v>15684.42</v>
      </c>
      <c r="F39" s="569">
        <v>25136.14</v>
      </c>
      <c r="G39" s="569">
        <v>28542.66</v>
      </c>
      <c r="H39" s="569">
        <v>31635.119999999999</v>
      </c>
      <c r="I39" s="688"/>
    </row>
    <row r="40" spans="1:9">
      <c r="A40" s="680"/>
      <c r="B40" s="683"/>
      <c r="C40" s="571" t="s">
        <v>27</v>
      </c>
      <c r="D40" s="582">
        <v>2914.7379999999998</v>
      </c>
      <c r="E40" s="588">
        <v>6793.107</v>
      </c>
      <c r="F40" s="588">
        <v>11442.07</v>
      </c>
      <c r="G40" s="588">
        <v>13445.4</v>
      </c>
      <c r="H40" s="588">
        <v>14926.16</v>
      </c>
      <c r="I40" s="688"/>
    </row>
    <row r="41" spans="1:9">
      <c r="A41" s="685" t="s">
        <v>313</v>
      </c>
      <c r="B41" s="686">
        <v>7505</v>
      </c>
      <c r="C41" s="565" t="s">
        <v>647</v>
      </c>
      <c r="D41" s="566">
        <v>1067.079</v>
      </c>
      <c r="E41" s="575">
        <v>1659.721</v>
      </c>
      <c r="F41" s="569">
        <v>3434.4609999999998</v>
      </c>
      <c r="G41" s="569">
        <v>4263.1620000000003</v>
      </c>
      <c r="H41" s="691" t="s">
        <v>253</v>
      </c>
      <c r="I41" s="687" t="s">
        <v>253</v>
      </c>
    </row>
    <row r="42" spans="1:9">
      <c r="A42" s="680"/>
      <c r="B42" s="683"/>
      <c r="C42" s="565" t="s">
        <v>28</v>
      </c>
      <c r="D42" s="566">
        <v>2450.634</v>
      </c>
      <c r="E42" s="569">
        <v>4638.2640000000001</v>
      </c>
      <c r="F42" s="569">
        <v>9329.9009999999998</v>
      </c>
      <c r="G42" s="575">
        <v>11323.12</v>
      </c>
      <c r="H42" s="691"/>
      <c r="I42" s="688"/>
    </row>
    <row r="43" spans="1:9">
      <c r="A43" s="680"/>
      <c r="B43" s="683"/>
      <c r="C43" s="565" t="s">
        <v>648</v>
      </c>
      <c r="D43" s="566">
        <v>4072.7840000000001</v>
      </c>
      <c r="E43" s="575">
        <v>9718.7369999999992</v>
      </c>
      <c r="F43" s="569">
        <v>17040</v>
      </c>
      <c r="G43" s="569">
        <v>19931.650000000001</v>
      </c>
      <c r="H43" s="691"/>
      <c r="I43" s="688"/>
    </row>
    <row r="44" spans="1:9">
      <c r="A44" s="680"/>
      <c r="B44" s="683"/>
      <c r="C44" s="565" t="s">
        <v>649</v>
      </c>
      <c r="D44" s="566">
        <v>5961.5770000000002</v>
      </c>
      <c r="E44" s="569">
        <v>16444.55</v>
      </c>
      <c r="F44" s="569">
        <v>25565.9</v>
      </c>
      <c r="G44" s="569">
        <v>29154.35</v>
      </c>
      <c r="H44" s="691"/>
      <c r="I44" s="688"/>
    </row>
    <row r="45" spans="1:9">
      <c r="A45" s="680"/>
      <c r="B45" s="683"/>
      <c r="C45" s="571" t="s">
        <v>27</v>
      </c>
      <c r="D45" s="582">
        <v>2934.8510000000001</v>
      </c>
      <c r="E45" s="583">
        <v>7081.2610000000004</v>
      </c>
      <c r="F45" s="583">
        <v>11758.83</v>
      </c>
      <c r="G45" s="583">
        <v>13798.03</v>
      </c>
      <c r="H45" s="692"/>
      <c r="I45" s="688"/>
    </row>
    <row r="46" spans="1:9">
      <c r="A46" s="685" t="s">
        <v>314</v>
      </c>
      <c r="B46" s="686">
        <v>9614</v>
      </c>
      <c r="C46" s="565" t="s">
        <v>647</v>
      </c>
      <c r="D46" s="566">
        <v>1070.761</v>
      </c>
      <c r="E46" s="569">
        <v>1759.3320000000001</v>
      </c>
      <c r="F46" s="569">
        <v>3626.6889999999999</v>
      </c>
      <c r="G46" s="691" t="s">
        <v>253</v>
      </c>
      <c r="H46" s="691" t="s">
        <v>253</v>
      </c>
      <c r="I46" s="687" t="s">
        <v>253</v>
      </c>
    </row>
    <row r="47" spans="1:9">
      <c r="A47" s="680"/>
      <c r="B47" s="683"/>
      <c r="C47" s="565" t="s">
        <v>28</v>
      </c>
      <c r="D47" s="566">
        <v>2446.5509999999999</v>
      </c>
      <c r="E47" s="569">
        <v>4863.201</v>
      </c>
      <c r="F47" s="569">
        <v>9664.3389999999999</v>
      </c>
      <c r="G47" s="691"/>
      <c r="H47" s="691"/>
      <c r="I47" s="688"/>
    </row>
    <row r="48" spans="1:9">
      <c r="A48" s="680"/>
      <c r="B48" s="683"/>
      <c r="C48" s="565" t="s">
        <v>648</v>
      </c>
      <c r="D48" s="566">
        <v>4081.931</v>
      </c>
      <c r="E48" s="569">
        <v>10170.93</v>
      </c>
      <c r="F48" s="569">
        <v>17338.53</v>
      </c>
      <c r="G48" s="691"/>
      <c r="H48" s="691"/>
      <c r="I48" s="688"/>
    </row>
    <row r="49" spans="1:9">
      <c r="A49" s="680"/>
      <c r="B49" s="683"/>
      <c r="C49" s="565" t="s">
        <v>649</v>
      </c>
      <c r="D49" s="566">
        <v>5968.9530000000004</v>
      </c>
      <c r="E49" s="569">
        <v>16953.29</v>
      </c>
      <c r="F49" s="569">
        <v>25918.35</v>
      </c>
      <c r="G49" s="691"/>
      <c r="H49" s="691"/>
      <c r="I49" s="688"/>
    </row>
    <row r="50" spans="1:9" ht="16.5" thickBot="1">
      <c r="A50" s="693"/>
      <c r="B50" s="694"/>
      <c r="C50" s="579" t="s">
        <v>27</v>
      </c>
      <c r="D50" s="590">
        <v>2943.4960000000001</v>
      </c>
      <c r="E50" s="591">
        <v>7376.4210000000003</v>
      </c>
      <c r="F50" s="592">
        <v>12046.04</v>
      </c>
      <c r="G50" s="695"/>
      <c r="H50" s="695"/>
      <c r="I50" s="696"/>
    </row>
    <row r="51" spans="1:9">
      <c r="A51" s="674" t="s">
        <v>637</v>
      </c>
      <c r="B51" s="674"/>
      <c r="C51" s="674"/>
      <c r="D51" s="674"/>
      <c r="E51" s="674"/>
      <c r="F51" s="674"/>
      <c r="G51" s="674"/>
      <c r="H51" s="674"/>
      <c r="I51" s="674"/>
    </row>
    <row r="52" spans="1:9" ht="6.6" customHeight="1">
      <c r="A52" s="674"/>
      <c r="B52" s="674"/>
      <c r="C52" s="674"/>
      <c r="D52" s="674"/>
      <c r="E52" s="674"/>
      <c r="F52" s="674"/>
      <c r="G52" s="674"/>
      <c r="H52" s="674"/>
      <c r="I52" s="674"/>
    </row>
    <row r="53" spans="1:9" ht="14.45" customHeight="1">
      <c r="A53" s="675" t="s">
        <v>646</v>
      </c>
      <c r="B53" s="675"/>
      <c r="C53" s="675"/>
      <c r="D53" s="675"/>
      <c r="E53" s="675"/>
      <c r="F53" s="675"/>
      <c r="G53" s="675"/>
      <c r="H53" s="675"/>
      <c r="I53" s="675"/>
    </row>
    <row r="54" spans="1:9" ht="31.9" customHeight="1">
      <c r="A54" s="675"/>
      <c r="B54" s="675"/>
      <c r="C54" s="675"/>
      <c r="D54" s="675"/>
      <c r="E54" s="675"/>
      <c r="F54" s="675"/>
      <c r="G54" s="675"/>
      <c r="H54" s="675"/>
      <c r="I54" s="675"/>
    </row>
  </sheetData>
  <mergeCells count="32">
    <mergeCell ref="A46:A50"/>
    <mergeCell ref="B46:B50"/>
    <mergeCell ref="G46:G50"/>
    <mergeCell ref="H46:H50"/>
    <mergeCell ref="I46:I50"/>
    <mergeCell ref="I36:I40"/>
    <mergeCell ref="A41:A45"/>
    <mergeCell ref="B41:B45"/>
    <mergeCell ref="H41:H45"/>
    <mergeCell ref="I41:I45"/>
    <mergeCell ref="A1:I1"/>
    <mergeCell ref="A3:A8"/>
    <mergeCell ref="B3:B8"/>
    <mergeCell ref="A9:A14"/>
    <mergeCell ref="B9:B14"/>
    <mergeCell ref="I9:I14"/>
    <mergeCell ref="A51:I52"/>
    <mergeCell ref="A53:I54"/>
    <mergeCell ref="A15:A20"/>
    <mergeCell ref="B15:B20"/>
    <mergeCell ref="H15:H20"/>
    <mergeCell ref="I15:I20"/>
    <mergeCell ref="A21:A26"/>
    <mergeCell ref="B21:B26"/>
    <mergeCell ref="G21:G26"/>
    <mergeCell ref="H21:H26"/>
    <mergeCell ref="I21:I26"/>
    <mergeCell ref="A29:I29"/>
    <mergeCell ref="A31:A35"/>
    <mergeCell ref="B31:B35"/>
    <mergeCell ref="A36:A40"/>
    <mergeCell ref="B36:B4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21" sqref="D21"/>
    </sheetView>
  </sheetViews>
  <sheetFormatPr defaultRowHeight="15"/>
  <cols>
    <col min="1" max="1" width="27.7109375" customWidth="1"/>
    <col min="2" max="5" width="21.7109375" customWidth="1"/>
  </cols>
  <sheetData>
    <row r="1" spans="1:5" ht="16.899999999999999" customHeight="1">
      <c r="A1" s="701" t="s">
        <v>669</v>
      </c>
      <c r="B1" s="702"/>
      <c r="C1" s="702"/>
      <c r="D1" s="702"/>
      <c r="E1" s="703"/>
    </row>
    <row r="2" spans="1:5" ht="16.899999999999999" customHeight="1" thickBot="1">
      <c r="A2" s="698" t="s">
        <v>315</v>
      </c>
      <c r="B2" s="699"/>
      <c r="C2" s="699"/>
      <c r="D2" s="699"/>
      <c r="E2" s="700"/>
    </row>
    <row r="3" spans="1:5">
      <c r="A3" s="613" t="s">
        <v>116</v>
      </c>
      <c r="B3" s="614" t="s">
        <v>316</v>
      </c>
      <c r="C3" s="614" t="s">
        <v>317</v>
      </c>
      <c r="D3" s="614" t="s">
        <v>318</v>
      </c>
      <c r="E3" s="615" t="s">
        <v>319</v>
      </c>
    </row>
    <row r="4" spans="1:5">
      <c r="A4" s="554" t="s">
        <v>24</v>
      </c>
      <c r="B4" s="553">
        <v>0.16</v>
      </c>
      <c r="C4" s="553">
        <v>0.21</v>
      </c>
      <c r="D4" s="553">
        <v>0.27</v>
      </c>
      <c r="E4" s="555">
        <v>0.36</v>
      </c>
    </row>
    <row r="5" spans="1:5">
      <c r="A5" s="554" t="s">
        <v>122</v>
      </c>
      <c r="B5" s="553">
        <v>0.24</v>
      </c>
      <c r="C5" s="553">
        <v>0.25</v>
      </c>
      <c r="D5" s="553">
        <v>0.25</v>
      </c>
      <c r="E5" s="555">
        <v>0.25</v>
      </c>
    </row>
    <row r="6" spans="1:5">
      <c r="A6" s="554" t="s">
        <v>134</v>
      </c>
      <c r="B6" s="553">
        <v>0.16</v>
      </c>
      <c r="C6" s="553">
        <v>0.27</v>
      </c>
      <c r="D6" s="553">
        <v>0.3</v>
      </c>
      <c r="E6" s="555">
        <v>0.26</v>
      </c>
    </row>
    <row r="7" spans="1:5">
      <c r="A7" s="554" t="s">
        <v>638</v>
      </c>
      <c r="B7" s="553">
        <v>0.08</v>
      </c>
      <c r="C7" s="553">
        <v>0.11</v>
      </c>
      <c r="D7" s="553">
        <v>0.23</v>
      </c>
      <c r="E7" s="555">
        <v>0.57999999999999996</v>
      </c>
    </row>
    <row r="8" spans="1:5" ht="15.75" thickBot="1">
      <c r="A8" s="556" t="s">
        <v>166</v>
      </c>
      <c r="B8" s="557">
        <v>0.17</v>
      </c>
      <c r="C8" s="557">
        <v>0.22</v>
      </c>
      <c r="D8" s="557">
        <v>0.28000000000000003</v>
      </c>
      <c r="E8" s="558">
        <v>0.33</v>
      </c>
    </row>
    <row r="9" spans="1:5">
      <c r="A9" s="704" t="s">
        <v>637</v>
      </c>
      <c r="B9" s="704"/>
      <c r="C9" s="704"/>
      <c r="D9" s="704"/>
      <c r="E9" s="704"/>
    </row>
    <row r="10" spans="1:5">
      <c r="A10" s="697"/>
      <c r="B10" s="697"/>
      <c r="C10" s="697"/>
      <c r="D10" s="697"/>
      <c r="E10" s="697"/>
    </row>
    <row r="11" spans="1:5">
      <c r="A11" s="697" t="s">
        <v>639</v>
      </c>
      <c r="B11" s="697"/>
      <c r="C11" s="697"/>
      <c r="D11" s="697"/>
      <c r="E11" s="697"/>
    </row>
    <row r="12" spans="1:5" ht="27" customHeight="1">
      <c r="A12" s="697"/>
      <c r="B12" s="697"/>
      <c r="C12" s="697"/>
      <c r="D12" s="697"/>
      <c r="E12" s="697"/>
    </row>
  </sheetData>
  <mergeCells count="4">
    <mergeCell ref="A11:E12"/>
    <mergeCell ref="A2:E2"/>
    <mergeCell ref="A1:E1"/>
    <mergeCell ref="A9:E1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19" sqref="H19"/>
    </sheetView>
  </sheetViews>
  <sheetFormatPr defaultRowHeight="15"/>
  <cols>
    <col min="1" max="1" width="31.7109375" customWidth="1"/>
    <col min="2" max="5" width="22.85546875" customWidth="1"/>
  </cols>
  <sheetData>
    <row r="1" spans="1:5" ht="17.25">
      <c r="A1" s="711" t="s">
        <v>656</v>
      </c>
      <c r="B1" s="712"/>
      <c r="C1" s="712"/>
      <c r="D1" s="712"/>
      <c r="E1" s="713"/>
    </row>
    <row r="2" spans="1:5" ht="16.5" thickBot="1">
      <c r="A2" s="698" t="s">
        <v>657</v>
      </c>
      <c r="B2" s="699"/>
      <c r="C2" s="699"/>
      <c r="D2" s="699"/>
      <c r="E2" s="700"/>
    </row>
    <row r="3" spans="1:5">
      <c r="A3" s="603" t="s">
        <v>116</v>
      </c>
      <c r="B3" s="604" t="s">
        <v>658</v>
      </c>
      <c r="C3" s="604" t="s">
        <v>659</v>
      </c>
      <c r="D3" s="604" t="s">
        <v>660</v>
      </c>
      <c r="E3" s="605" t="s">
        <v>661</v>
      </c>
    </row>
    <row r="4" spans="1:5">
      <c r="A4" s="705" t="s">
        <v>662</v>
      </c>
      <c r="B4" s="706"/>
      <c r="C4" s="706"/>
      <c r="D4" s="706"/>
      <c r="E4" s="707"/>
    </row>
    <row r="5" spans="1:5" ht="15.75">
      <c r="A5" s="606" t="s">
        <v>151</v>
      </c>
      <c r="B5" s="607">
        <v>8124</v>
      </c>
      <c r="C5" s="607">
        <v>12099</v>
      </c>
      <c r="D5" s="607">
        <v>3975</v>
      </c>
      <c r="E5" s="608">
        <v>0.48899999999999999</v>
      </c>
    </row>
    <row r="6" spans="1:5" ht="15.75">
      <c r="A6" s="609" t="s">
        <v>663</v>
      </c>
      <c r="B6" s="607">
        <v>5685</v>
      </c>
      <c r="C6" s="607">
        <v>9602</v>
      </c>
      <c r="D6" s="607">
        <v>3917</v>
      </c>
      <c r="E6" s="608">
        <v>0.68899999999999995</v>
      </c>
    </row>
    <row r="7" spans="1:5">
      <c r="A7" s="705" t="s">
        <v>664</v>
      </c>
      <c r="B7" s="706"/>
      <c r="C7" s="706"/>
      <c r="D7" s="706"/>
      <c r="E7" s="707"/>
    </row>
    <row r="8" spans="1:5" ht="15.75">
      <c r="A8" s="606" t="s">
        <v>151</v>
      </c>
      <c r="B8" s="607">
        <v>6886</v>
      </c>
      <c r="C8" s="607">
        <v>8841</v>
      </c>
      <c r="D8" s="607">
        <v>1955</v>
      </c>
      <c r="E8" s="608">
        <v>0.28399999999999997</v>
      </c>
    </row>
    <row r="9" spans="1:5" ht="15.75">
      <c r="A9" s="609" t="s">
        <v>665</v>
      </c>
      <c r="B9" s="607">
        <v>4194</v>
      </c>
      <c r="C9" s="607">
        <v>6199</v>
      </c>
      <c r="D9" s="607">
        <v>2006</v>
      </c>
      <c r="E9" s="608">
        <v>0.47799999999999998</v>
      </c>
    </row>
    <row r="10" spans="1:5">
      <c r="A10" s="705" t="s">
        <v>666</v>
      </c>
      <c r="B10" s="706"/>
      <c r="C10" s="706"/>
      <c r="D10" s="706"/>
      <c r="E10" s="707"/>
    </row>
    <row r="11" spans="1:5" ht="15.75">
      <c r="A11" s="606" t="s">
        <v>151</v>
      </c>
      <c r="B11" s="607">
        <v>5554</v>
      </c>
      <c r="C11" s="607">
        <v>8238</v>
      </c>
      <c r="D11" s="607">
        <v>2684</v>
      </c>
      <c r="E11" s="608">
        <v>0.48299999999999998</v>
      </c>
    </row>
    <row r="12" spans="1:5" ht="15.75">
      <c r="A12" s="609" t="s">
        <v>153</v>
      </c>
      <c r="B12" s="607">
        <v>3786</v>
      </c>
      <c r="C12" s="607">
        <v>5940</v>
      </c>
      <c r="D12" s="607">
        <v>2154</v>
      </c>
      <c r="E12" s="608">
        <v>0.56899999999999995</v>
      </c>
    </row>
    <row r="13" spans="1:5">
      <c r="A13" s="705" t="s">
        <v>667</v>
      </c>
      <c r="B13" s="706"/>
      <c r="C13" s="706"/>
      <c r="D13" s="706"/>
      <c r="E13" s="707"/>
    </row>
    <row r="14" spans="1:5" ht="15.75">
      <c r="A14" s="606" t="s">
        <v>165</v>
      </c>
      <c r="B14" s="607">
        <v>11349</v>
      </c>
      <c r="C14" s="607">
        <v>16927</v>
      </c>
      <c r="D14" s="607">
        <v>5578</v>
      </c>
      <c r="E14" s="608">
        <v>0.49099999999999999</v>
      </c>
    </row>
    <row r="15" spans="1:5" ht="15.75">
      <c r="A15" s="609" t="s">
        <v>153</v>
      </c>
      <c r="B15" s="607">
        <v>9582</v>
      </c>
      <c r="C15" s="607">
        <v>15463</v>
      </c>
      <c r="D15" s="607">
        <v>5881</v>
      </c>
      <c r="E15" s="608">
        <v>0.61399999999999999</v>
      </c>
    </row>
    <row r="16" spans="1:5">
      <c r="A16" s="705" t="s">
        <v>668</v>
      </c>
      <c r="B16" s="706"/>
      <c r="C16" s="706"/>
      <c r="D16" s="706"/>
      <c r="E16" s="707"/>
    </row>
    <row r="17" spans="1:5" ht="15.75">
      <c r="A17" s="606" t="s">
        <v>151</v>
      </c>
      <c r="B17" s="607">
        <v>7376</v>
      </c>
      <c r="C17" s="607">
        <v>12046</v>
      </c>
      <c r="D17" s="607">
        <v>4670</v>
      </c>
      <c r="E17" s="608">
        <v>0.63300000000000001</v>
      </c>
    </row>
    <row r="18" spans="1:5" ht="16.5" thickBot="1">
      <c r="A18" s="610" t="s">
        <v>153</v>
      </c>
      <c r="B18" s="611">
        <v>4863</v>
      </c>
      <c r="C18" s="611">
        <v>9664</v>
      </c>
      <c r="D18" s="611">
        <v>4801</v>
      </c>
      <c r="E18" s="612">
        <v>0.98699999999999999</v>
      </c>
    </row>
    <row r="19" spans="1:5" ht="15" customHeight="1">
      <c r="A19" s="709" t="s">
        <v>637</v>
      </c>
      <c r="B19" s="709"/>
      <c r="C19" s="709"/>
      <c r="D19" s="709"/>
      <c r="E19" s="709"/>
    </row>
    <row r="20" spans="1:5" ht="15" customHeight="1">
      <c r="A20" s="710"/>
      <c r="B20" s="710"/>
      <c r="C20" s="710"/>
      <c r="D20" s="710"/>
      <c r="E20" s="710"/>
    </row>
    <row r="21" spans="1:5">
      <c r="A21" s="708" t="s">
        <v>670</v>
      </c>
      <c r="B21" s="708"/>
      <c r="C21" s="708"/>
      <c r="D21" s="708"/>
      <c r="E21" s="708"/>
    </row>
    <row r="22" spans="1:5" ht="30" customHeight="1">
      <c r="A22" s="708"/>
      <c r="B22" s="708"/>
      <c r="C22" s="708"/>
      <c r="D22" s="708"/>
      <c r="E22" s="708"/>
    </row>
  </sheetData>
  <mergeCells count="9">
    <mergeCell ref="A13:E13"/>
    <mergeCell ref="A16:E16"/>
    <mergeCell ref="A21:E22"/>
    <mergeCell ref="A19:E20"/>
    <mergeCell ref="A1:E1"/>
    <mergeCell ref="A2:E2"/>
    <mergeCell ref="A4:E4"/>
    <mergeCell ref="A7:E7"/>
    <mergeCell ref="A10:E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O48"/>
  <sheetViews>
    <sheetView zoomScale="80" zoomScaleNormal="80" workbookViewId="0">
      <selection activeCell="T5" sqref="T5"/>
    </sheetView>
  </sheetViews>
  <sheetFormatPr defaultRowHeight="15"/>
  <cols>
    <col min="4" max="4" width="11" bestFit="1" customWidth="1"/>
    <col min="5" max="5" width="9.140625" bestFit="1" customWidth="1"/>
    <col min="10" max="10" width="16.85546875" customWidth="1"/>
    <col min="13" max="13" width="16.85546875" customWidth="1"/>
  </cols>
  <sheetData>
    <row r="2" spans="1:15" ht="15.75" thickBot="1"/>
    <row r="3" spans="1:15" ht="28.9" customHeight="1" thickBot="1">
      <c r="A3" s="714" t="s">
        <v>320</v>
      </c>
      <c r="B3" s="715"/>
      <c r="C3" s="716"/>
      <c r="J3" s="717" t="s">
        <v>320</v>
      </c>
      <c r="K3" s="718"/>
      <c r="L3" s="719"/>
      <c r="M3" s="717" t="s">
        <v>321</v>
      </c>
      <c r="N3" s="718"/>
      <c r="O3" s="719"/>
    </row>
    <row r="4" spans="1:15" ht="15.75" thickBot="1">
      <c r="A4" s="419" t="s">
        <v>322</v>
      </c>
      <c r="B4" s="420">
        <v>6636</v>
      </c>
      <c r="C4" s="421">
        <v>0.2949</v>
      </c>
      <c r="J4" s="427" t="s">
        <v>322</v>
      </c>
      <c r="K4" s="428">
        <v>6636</v>
      </c>
      <c r="L4" s="429">
        <v>0.2949</v>
      </c>
      <c r="M4" s="427" t="s">
        <v>322</v>
      </c>
      <c r="N4" s="428">
        <v>1926</v>
      </c>
      <c r="O4" s="421">
        <v>0.372</v>
      </c>
    </row>
    <row r="5" spans="1:15" ht="30.75" thickBot="1">
      <c r="A5" s="419" t="s">
        <v>323</v>
      </c>
      <c r="B5" s="420">
        <v>4985</v>
      </c>
      <c r="C5" s="421">
        <v>0.2215</v>
      </c>
      <c r="D5" s="176">
        <f>B5+B4</f>
        <v>11621</v>
      </c>
      <c r="E5" s="473">
        <f>C5+C4</f>
        <v>0.51639999999999997</v>
      </c>
      <c r="F5" s="473">
        <v>0.53079999999999994</v>
      </c>
      <c r="J5" s="426" t="s">
        <v>323</v>
      </c>
      <c r="K5" s="420">
        <v>4985</v>
      </c>
      <c r="L5" s="421">
        <v>0.2215</v>
      </c>
      <c r="M5" s="426" t="s">
        <v>323</v>
      </c>
      <c r="N5" s="425">
        <v>822</v>
      </c>
      <c r="O5" s="421">
        <v>0.1588</v>
      </c>
    </row>
    <row r="6" spans="1:15" ht="30.75" thickBot="1">
      <c r="A6" s="419" t="s">
        <v>324</v>
      </c>
      <c r="B6" s="420">
        <v>3063</v>
      </c>
      <c r="C6" s="421">
        <v>0.1361</v>
      </c>
      <c r="D6" s="176">
        <f>D5+B6</f>
        <v>14684</v>
      </c>
      <c r="E6" s="473">
        <f>C6+E5</f>
        <v>0.65249999999999997</v>
      </c>
      <c r="F6" s="473">
        <v>0.62509999999999999</v>
      </c>
      <c r="J6" s="427" t="s">
        <v>324</v>
      </c>
      <c r="K6" s="428">
        <v>3063</v>
      </c>
      <c r="L6" s="429">
        <v>0.1361</v>
      </c>
      <c r="M6" s="427" t="s">
        <v>324</v>
      </c>
      <c r="N6" s="430">
        <v>488</v>
      </c>
      <c r="O6" s="429">
        <v>9.4299999999999995E-2</v>
      </c>
    </row>
    <row r="7" spans="1:15" ht="30.75" thickBot="1">
      <c r="A7" s="419" t="s">
        <v>325</v>
      </c>
      <c r="B7" s="420">
        <v>2658</v>
      </c>
      <c r="C7" s="421">
        <v>0.1181</v>
      </c>
      <c r="D7" s="176">
        <f t="shared" ref="D7:D10" si="0">D6+B7</f>
        <v>17342</v>
      </c>
      <c r="E7" s="473">
        <f t="shared" ref="E7:E10" si="1">C7+E6</f>
        <v>0.77059999999999995</v>
      </c>
      <c r="F7" s="473">
        <v>0.71089999999999998</v>
      </c>
      <c r="J7" s="426" t="s">
        <v>325</v>
      </c>
      <c r="K7" s="420">
        <v>2658</v>
      </c>
      <c r="L7" s="421">
        <v>0.1181</v>
      </c>
      <c r="M7" s="426" t="s">
        <v>325</v>
      </c>
      <c r="N7" s="425">
        <v>444</v>
      </c>
      <c r="O7" s="421">
        <v>8.5800000000000001E-2</v>
      </c>
    </row>
    <row r="8" spans="1:15" ht="30.75" thickBot="1">
      <c r="A8" s="419" t="s">
        <v>326</v>
      </c>
      <c r="B8" s="420">
        <v>2003</v>
      </c>
      <c r="C8" s="421">
        <v>8.8999999999999996E-2</v>
      </c>
      <c r="D8" s="176">
        <f t="shared" si="0"/>
        <v>19345</v>
      </c>
      <c r="E8" s="473">
        <f t="shared" si="1"/>
        <v>0.85959999999999992</v>
      </c>
      <c r="F8" s="473">
        <v>0.79139999999999999</v>
      </c>
      <c r="J8" s="427" t="s">
        <v>326</v>
      </c>
      <c r="K8" s="428">
        <v>2003</v>
      </c>
      <c r="L8" s="429">
        <v>8.8999999999999996E-2</v>
      </c>
      <c r="M8" s="427" t="s">
        <v>326</v>
      </c>
      <c r="N8" s="430">
        <v>417</v>
      </c>
      <c r="O8" s="429">
        <v>8.0500000000000002E-2</v>
      </c>
    </row>
    <row r="9" spans="1:15" ht="30.75" thickBot="1">
      <c r="A9" s="419" t="s">
        <v>327</v>
      </c>
      <c r="B9" s="420">
        <v>1311</v>
      </c>
      <c r="C9" s="421">
        <v>5.8299999999999998E-2</v>
      </c>
      <c r="D9" s="176">
        <f t="shared" si="0"/>
        <v>20656</v>
      </c>
      <c r="E9" s="473">
        <f t="shared" si="1"/>
        <v>0.91789999999999994</v>
      </c>
      <c r="F9" s="473">
        <v>0.85629999999999995</v>
      </c>
      <c r="J9" s="426" t="s">
        <v>327</v>
      </c>
      <c r="K9" s="420">
        <v>1311</v>
      </c>
      <c r="L9" s="421">
        <v>5.8299999999999998E-2</v>
      </c>
      <c r="M9" s="426" t="s">
        <v>327</v>
      </c>
      <c r="N9" s="425">
        <v>336</v>
      </c>
      <c r="O9" s="421">
        <v>6.4899999999999999E-2</v>
      </c>
    </row>
    <row r="10" spans="1:15" ht="45.75" thickBot="1">
      <c r="A10" s="419" t="s">
        <v>328</v>
      </c>
      <c r="B10" s="420">
        <v>1849</v>
      </c>
      <c r="C10" s="421">
        <v>8.2199999999999995E-2</v>
      </c>
      <c r="D10" s="422">
        <f t="shared" si="0"/>
        <v>22505</v>
      </c>
      <c r="E10" s="423">
        <f t="shared" si="1"/>
        <v>1.0001</v>
      </c>
      <c r="F10" s="473">
        <v>1</v>
      </c>
      <c r="J10" s="431" t="s">
        <v>328</v>
      </c>
      <c r="K10" s="428">
        <v>1849</v>
      </c>
      <c r="L10" s="429">
        <v>8.2199999999999995E-2</v>
      </c>
      <c r="M10" s="431" t="s">
        <v>328</v>
      </c>
      <c r="N10" s="430">
        <v>744</v>
      </c>
      <c r="O10" s="429">
        <v>0.14369999999999999</v>
      </c>
    </row>
    <row r="11" spans="1:15">
      <c r="C11" s="177">
        <f>SUM(C9:C10)</f>
        <v>0.14049999999999999</v>
      </c>
    </row>
    <row r="12" spans="1:15" ht="15.75" thickBot="1"/>
    <row r="13" spans="1:15" ht="15" customHeight="1" thickBot="1">
      <c r="J13" s="717" t="s">
        <v>329</v>
      </c>
      <c r="K13" s="718"/>
      <c r="L13" s="719"/>
      <c r="M13" s="717" t="s">
        <v>330</v>
      </c>
      <c r="N13" s="718"/>
      <c r="O13" s="719"/>
    </row>
    <row r="14" spans="1:15" ht="15.75" thickBot="1">
      <c r="J14" s="427" t="s">
        <v>322</v>
      </c>
      <c r="K14" s="428">
        <v>1938</v>
      </c>
      <c r="L14" s="429">
        <v>0.31819999999999998</v>
      </c>
      <c r="M14" s="427" t="s">
        <v>322</v>
      </c>
      <c r="N14" s="428">
        <v>397</v>
      </c>
      <c r="O14" s="421">
        <v>0.36959999999999998</v>
      </c>
    </row>
    <row r="15" spans="1:15" ht="15.75" thickBot="1">
      <c r="J15" s="426" t="s">
        <v>323</v>
      </c>
      <c r="K15" s="420">
        <v>1780</v>
      </c>
      <c r="L15" s="421">
        <v>0.2923</v>
      </c>
      <c r="M15" s="426" t="s">
        <v>323</v>
      </c>
      <c r="N15" s="425">
        <v>210</v>
      </c>
      <c r="O15" s="421">
        <v>0.19550000000000001</v>
      </c>
    </row>
    <row r="16" spans="1:15" ht="15.75" thickBot="1">
      <c r="J16" s="427" t="s">
        <v>324</v>
      </c>
      <c r="K16" s="428">
        <v>918</v>
      </c>
      <c r="L16" s="429">
        <v>0.1507</v>
      </c>
      <c r="M16" s="427" t="s">
        <v>324</v>
      </c>
      <c r="N16" s="430">
        <v>120</v>
      </c>
      <c r="O16" s="429">
        <v>0.11169999999999999</v>
      </c>
    </row>
    <row r="17" spans="1:15" ht="28.9" customHeight="1" thickBot="1">
      <c r="A17" s="714" t="s">
        <v>321</v>
      </c>
      <c r="B17" s="715"/>
      <c r="C17" s="716"/>
      <c r="F17" s="181"/>
      <c r="J17" s="426" t="s">
        <v>325</v>
      </c>
      <c r="K17" s="420">
        <v>629</v>
      </c>
      <c r="L17" s="421">
        <v>0.1033</v>
      </c>
      <c r="M17" s="426" t="s">
        <v>325</v>
      </c>
      <c r="N17" s="425">
        <v>100</v>
      </c>
      <c r="O17" s="421">
        <v>9.3100000000000002E-2</v>
      </c>
    </row>
    <row r="18" spans="1:15" ht="15.75" thickBot="1">
      <c r="A18" s="419" t="s">
        <v>322</v>
      </c>
      <c r="B18" s="420">
        <v>1926</v>
      </c>
      <c r="C18" s="421">
        <v>0.372</v>
      </c>
      <c r="J18" s="427" t="s">
        <v>326</v>
      </c>
      <c r="K18" s="428">
        <v>350</v>
      </c>
      <c r="L18" s="429">
        <v>5.7500000000000002E-2</v>
      </c>
      <c r="M18" s="427" t="s">
        <v>326</v>
      </c>
      <c r="N18" s="430">
        <v>68</v>
      </c>
      <c r="O18" s="429">
        <v>6.3299999999999995E-2</v>
      </c>
    </row>
    <row r="19" spans="1:15" ht="30.75" thickBot="1">
      <c r="A19" s="419" t="s">
        <v>323</v>
      </c>
      <c r="B19" s="425">
        <v>822</v>
      </c>
      <c r="C19" s="421">
        <v>0.1588</v>
      </c>
      <c r="D19" s="176">
        <f>B19+B18</f>
        <v>2748</v>
      </c>
      <c r="E19" s="473">
        <f>C19+C18</f>
        <v>0.53079999999999994</v>
      </c>
      <c r="J19" s="426" t="s">
        <v>327</v>
      </c>
      <c r="K19" s="420">
        <v>197</v>
      </c>
      <c r="L19" s="421">
        <v>3.2300000000000002E-2</v>
      </c>
      <c r="M19" s="426" t="s">
        <v>327</v>
      </c>
      <c r="N19" s="425">
        <v>61</v>
      </c>
      <c r="O19" s="421">
        <v>5.6800000000000003E-2</v>
      </c>
    </row>
    <row r="20" spans="1:15" ht="30.75" thickBot="1">
      <c r="A20" s="419" t="s">
        <v>324</v>
      </c>
      <c r="B20" s="425">
        <v>488</v>
      </c>
      <c r="C20" s="421">
        <v>9.4299999999999995E-2</v>
      </c>
      <c r="D20" s="176">
        <f>D19+B20</f>
        <v>3236</v>
      </c>
      <c r="E20" s="473">
        <f>C20+E19</f>
        <v>0.62509999999999999</v>
      </c>
      <c r="F20">
        <f>B19+B20</f>
        <v>1310</v>
      </c>
      <c r="J20" s="431" t="s">
        <v>328</v>
      </c>
      <c r="K20" s="428">
        <v>278</v>
      </c>
      <c r="L20" s="429">
        <v>4.5600000000000002E-2</v>
      </c>
      <c r="M20" s="431" t="s">
        <v>328</v>
      </c>
      <c r="N20" s="430">
        <v>118</v>
      </c>
      <c r="O20" s="429">
        <v>0.1099</v>
      </c>
    </row>
    <row r="21" spans="1:15" ht="30.75" thickBot="1">
      <c r="A21" s="419" t="s">
        <v>325</v>
      </c>
      <c r="B21" s="425">
        <v>444</v>
      </c>
      <c r="C21" s="421">
        <v>8.5800000000000001E-2</v>
      </c>
      <c r="D21" s="176">
        <f t="shared" ref="D21:D24" si="2">D20+B21</f>
        <v>3680</v>
      </c>
      <c r="E21" s="473">
        <f t="shared" ref="E21:E24" si="3">C21+E20</f>
        <v>0.71089999999999998</v>
      </c>
    </row>
    <row r="22" spans="1:15" ht="30.75" thickBot="1">
      <c r="A22" s="419" t="s">
        <v>326</v>
      </c>
      <c r="B22" s="425">
        <v>417</v>
      </c>
      <c r="C22" s="421">
        <v>8.0500000000000002E-2</v>
      </c>
      <c r="D22" s="176">
        <f t="shared" si="2"/>
        <v>4097</v>
      </c>
      <c r="E22" s="473">
        <f t="shared" si="3"/>
        <v>0.79139999999999999</v>
      </c>
      <c r="F22" s="177">
        <f>C21+C22</f>
        <v>0.1663</v>
      </c>
      <c r="H22">
        <f>1/6</f>
        <v>0.16666666666666666</v>
      </c>
    </row>
    <row r="23" spans="1:15" ht="30.75" thickBot="1">
      <c r="A23" s="419" t="s">
        <v>327</v>
      </c>
      <c r="B23" s="425">
        <v>336</v>
      </c>
      <c r="C23" s="421">
        <v>6.4899999999999999E-2</v>
      </c>
      <c r="D23" s="176">
        <f t="shared" si="2"/>
        <v>4433</v>
      </c>
      <c r="E23" s="473">
        <f t="shared" si="3"/>
        <v>0.85629999999999995</v>
      </c>
    </row>
    <row r="24" spans="1:15" ht="45.75" thickBot="1">
      <c r="A24" s="419" t="s">
        <v>328</v>
      </c>
      <c r="B24" s="425">
        <v>744</v>
      </c>
      <c r="C24" s="421">
        <v>0.14369999999999999</v>
      </c>
      <c r="D24" s="422">
        <f t="shared" si="2"/>
        <v>5177</v>
      </c>
      <c r="E24" s="423">
        <f t="shared" si="3"/>
        <v>1</v>
      </c>
      <c r="G24" s="177">
        <f>C24+C23</f>
        <v>0.20860000000000001</v>
      </c>
    </row>
    <row r="25" spans="1:15">
      <c r="B25" s="176">
        <f>SUM(B18:B24)</f>
        <v>5177</v>
      </c>
      <c r="C25" s="177">
        <f>SUM(C18:C24)</f>
        <v>1</v>
      </c>
    </row>
    <row r="29" spans="1:15" ht="15.75" thickBot="1"/>
    <row r="30" spans="1:15" ht="28.9" customHeight="1" thickBot="1">
      <c r="A30" s="714" t="s">
        <v>329</v>
      </c>
      <c r="B30" s="715"/>
      <c r="C30" s="716"/>
    </row>
    <row r="31" spans="1:15" ht="15.75" thickBot="1">
      <c r="A31" s="419" t="s">
        <v>322</v>
      </c>
      <c r="B31" s="420">
        <v>1938</v>
      </c>
      <c r="C31" s="421">
        <v>0.31819999999999998</v>
      </c>
    </row>
    <row r="32" spans="1:15" ht="30.75" thickBot="1">
      <c r="A32" s="419" t="s">
        <v>323</v>
      </c>
      <c r="B32" s="420">
        <v>1780</v>
      </c>
      <c r="C32" s="421">
        <v>0.2923</v>
      </c>
      <c r="D32" s="176">
        <f>B31+B32</f>
        <v>3718</v>
      </c>
      <c r="E32" s="473">
        <f>C31+C32</f>
        <v>0.61050000000000004</v>
      </c>
    </row>
    <row r="33" spans="1:7" ht="30.75" thickBot="1">
      <c r="A33" s="419" t="s">
        <v>324</v>
      </c>
      <c r="B33" s="425">
        <v>918</v>
      </c>
      <c r="C33" s="421">
        <v>0.1507</v>
      </c>
      <c r="D33" s="176">
        <f>D32+B33</f>
        <v>4636</v>
      </c>
      <c r="E33" s="473">
        <f>E32+C33</f>
        <v>0.7612000000000001</v>
      </c>
    </row>
    <row r="34" spans="1:7" ht="30.75" thickBot="1">
      <c r="A34" s="419" t="s">
        <v>325</v>
      </c>
      <c r="B34" s="425">
        <v>629</v>
      </c>
      <c r="C34" s="421">
        <v>0.1033</v>
      </c>
      <c r="D34" s="176">
        <f t="shared" ref="D34:D37" si="4">D33+B34</f>
        <v>5265</v>
      </c>
      <c r="E34" s="473">
        <f t="shared" ref="E34:E37" si="5">E33+C34</f>
        <v>0.86450000000000005</v>
      </c>
    </row>
    <row r="35" spans="1:7" ht="30.75" thickBot="1">
      <c r="A35" s="419" t="s">
        <v>326</v>
      </c>
      <c r="B35" s="425">
        <v>350</v>
      </c>
      <c r="C35" s="421">
        <v>5.7500000000000002E-2</v>
      </c>
      <c r="D35" s="176">
        <f t="shared" si="4"/>
        <v>5615</v>
      </c>
      <c r="E35" s="473">
        <f t="shared" si="5"/>
        <v>0.92200000000000004</v>
      </c>
    </row>
    <row r="36" spans="1:7" ht="30.75" thickBot="1">
      <c r="A36" s="419" t="s">
        <v>327</v>
      </c>
      <c r="B36" s="425">
        <v>197</v>
      </c>
      <c r="C36" s="421">
        <v>3.2300000000000002E-2</v>
      </c>
      <c r="D36" s="176">
        <f t="shared" si="4"/>
        <v>5812</v>
      </c>
      <c r="E36" s="473">
        <f t="shared" si="5"/>
        <v>0.95430000000000004</v>
      </c>
    </row>
    <row r="37" spans="1:7" ht="45.75" thickBot="1">
      <c r="A37" s="419" t="s">
        <v>328</v>
      </c>
      <c r="B37" s="425">
        <v>278</v>
      </c>
      <c r="C37" s="421">
        <v>4.5600000000000002E-2</v>
      </c>
      <c r="D37" s="176">
        <f t="shared" si="4"/>
        <v>6090</v>
      </c>
      <c r="E37" s="473">
        <f t="shared" si="5"/>
        <v>0.99990000000000001</v>
      </c>
    </row>
    <row r="38" spans="1:7">
      <c r="A38" s="410"/>
      <c r="D38" s="176"/>
    </row>
    <row r="39" spans="1:7" ht="15.75" thickBot="1">
      <c r="A39" s="410"/>
    </row>
    <row r="40" spans="1:7" ht="28.9" customHeight="1" thickBot="1">
      <c r="A40" s="714" t="s">
        <v>330</v>
      </c>
      <c r="B40" s="715"/>
      <c r="C40" s="716"/>
    </row>
    <row r="41" spans="1:7" ht="15.75" thickBot="1">
      <c r="A41" s="419" t="s">
        <v>322</v>
      </c>
      <c r="B41" s="425">
        <v>397</v>
      </c>
      <c r="C41" s="421">
        <v>0.36959999999999998</v>
      </c>
    </row>
    <row r="42" spans="1:7" ht="30.75" thickBot="1">
      <c r="A42" s="419" t="s">
        <v>323</v>
      </c>
      <c r="B42" s="425">
        <v>210</v>
      </c>
      <c r="C42" s="421">
        <v>0.19550000000000001</v>
      </c>
      <c r="D42">
        <f>B41+B42</f>
        <v>607</v>
      </c>
      <c r="E42" s="177">
        <f>C41+C42</f>
        <v>0.56509999999999994</v>
      </c>
      <c r="G42" s="177">
        <f>C42+C43</f>
        <v>0.30720000000000003</v>
      </c>
    </row>
    <row r="43" spans="1:7" ht="30.75" thickBot="1">
      <c r="A43" s="419" t="s">
        <v>324</v>
      </c>
      <c r="B43" s="425">
        <v>120</v>
      </c>
      <c r="C43" s="421">
        <v>0.11169999999999999</v>
      </c>
      <c r="D43">
        <f>D42+B43</f>
        <v>727</v>
      </c>
      <c r="E43" s="177">
        <f>E42+C43</f>
        <v>0.67679999999999996</v>
      </c>
    </row>
    <row r="44" spans="1:7" ht="30.75" thickBot="1">
      <c r="A44" s="419" t="s">
        <v>325</v>
      </c>
      <c r="B44" s="425">
        <v>100</v>
      </c>
      <c r="C44" s="421">
        <v>9.3100000000000002E-2</v>
      </c>
      <c r="D44">
        <f t="shared" ref="D44:D47" si="6">D43+B44</f>
        <v>827</v>
      </c>
      <c r="E44" s="177">
        <f t="shared" ref="E44:E47" si="7">E43+C44</f>
        <v>0.76989999999999992</v>
      </c>
      <c r="G44" s="177">
        <f>C44+C45</f>
        <v>0.15639999999999998</v>
      </c>
    </row>
    <row r="45" spans="1:7" ht="30.75" thickBot="1">
      <c r="A45" s="419" t="s">
        <v>326</v>
      </c>
      <c r="B45" s="425">
        <v>68</v>
      </c>
      <c r="C45" s="421">
        <v>6.3299999999999995E-2</v>
      </c>
      <c r="D45">
        <f t="shared" si="6"/>
        <v>895</v>
      </c>
      <c r="E45" s="177">
        <f t="shared" si="7"/>
        <v>0.83319999999999994</v>
      </c>
    </row>
    <row r="46" spans="1:7" ht="30.75" thickBot="1">
      <c r="A46" s="419" t="s">
        <v>327</v>
      </c>
      <c r="B46" s="425">
        <v>61</v>
      </c>
      <c r="C46" s="421">
        <v>5.6800000000000003E-2</v>
      </c>
      <c r="D46">
        <f t="shared" si="6"/>
        <v>956</v>
      </c>
      <c r="E46" s="177">
        <f t="shared" si="7"/>
        <v>0.8899999999999999</v>
      </c>
    </row>
    <row r="47" spans="1:7" ht="45.75" thickBot="1">
      <c r="A47" s="419" t="s">
        <v>328</v>
      </c>
      <c r="B47" s="425">
        <v>118</v>
      </c>
      <c r="C47" s="421">
        <v>0.1099</v>
      </c>
      <c r="D47">
        <f t="shared" si="6"/>
        <v>1074</v>
      </c>
      <c r="E47" s="177">
        <f t="shared" si="7"/>
        <v>0.9998999999999999</v>
      </c>
      <c r="F47" s="177">
        <f>C46+C47</f>
        <v>0.16670000000000001</v>
      </c>
    </row>
    <row r="48" spans="1:7">
      <c r="B48">
        <f>SUM(B41:B47)</f>
        <v>1074</v>
      </c>
    </row>
  </sheetData>
  <mergeCells count="8">
    <mergeCell ref="A40:C40"/>
    <mergeCell ref="M13:O13"/>
    <mergeCell ref="J13:L13"/>
    <mergeCell ref="A3:C3"/>
    <mergeCell ref="A17:C17"/>
    <mergeCell ref="J3:L3"/>
    <mergeCell ref="M3:O3"/>
    <mergeCell ref="A30:C30"/>
  </mergeCells>
  <phoneticPr fontId="3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58"/>
  <sheetViews>
    <sheetView topLeftCell="A4" zoomScaleNormal="100" zoomScaleSheetLayoutView="100" workbookViewId="0">
      <selection activeCell="G20" sqref="G20"/>
    </sheetView>
  </sheetViews>
  <sheetFormatPr defaultRowHeight="15"/>
  <sheetData>
    <row r="1" spans="1:3">
      <c r="B1" s="176"/>
      <c r="C1" s="176" t="s">
        <v>1</v>
      </c>
    </row>
    <row r="2" spans="1:3">
      <c r="A2" s="411">
        <v>35065</v>
      </c>
      <c r="B2" s="176">
        <v>25811</v>
      </c>
    </row>
    <row r="3" spans="1:3">
      <c r="A3" s="411">
        <v>35096</v>
      </c>
      <c r="B3" s="176">
        <v>25914</v>
      </c>
    </row>
    <row r="4" spans="1:3">
      <c r="A4" s="411">
        <v>35125</v>
      </c>
      <c r="B4" s="176">
        <v>24426</v>
      </c>
    </row>
    <row r="5" spans="1:3">
      <c r="A5" s="411">
        <v>35156</v>
      </c>
      <c r="B5" s="176">
        <v>25413</v>
      </c>
    </row>
    <row r="6" spans="1:3">
      <c r="A6" s="411">
        <v>35186</v>
      </c>
      <c r="B6" s="176">
        <v>24756</v>
      </c>
    </row>
    <row r="7" spans="1:3">
      <c r="A7" s="411">
        <v>35217</v>
      </c>
      <c r="B7" s="176">
        <v>24340</v>
      </c>
    </row>
    <row r="8" spans="1:3">
      <c r="A8" s="411">
        <v>35247</v>
      </c>
      <c r="B8" s="176">
        <v>23943</v>
      </c>
    </row>
    <row r="9" spans="1:3">
      <c r="A9" s="411">
        <v>35278</v>
      </c>
      <c r="B9" s="176">
        <v>23790</v>
      </c>
    </row>
    <row r="10" spans="1:3">
      <c r="A10" s="411">
        <v>35309</v>
      </c>
      <c r="B10" s="176">
        <v>23386</v>
      </c>
    </row>
    <row r="11" spans="1:3">
      <c r="A11" s="411">
        <v>35339</v>
      </c>
      <c r="B11" s="176">
        <v>22807</v>
      </c>
    </row>
    <row r="12" spans="1:3">
      <c r="A12" s="411">
        <v>35370</v>
      </c>
      <c r="B12" s="176">
        <v>22252</v>
      </c>
    </row>
    <row r="13" spans="1:3">
      <c r="A13" s="411">
        <v>35400</v>
      </c>
      <c r="B13" s="176">
        <v>21916</v>
      </c>
    </row>
    <row r="14" spans="1:3">
      <c r="A14" s="411">
        <v>35431</v>
      </c>
      <c r="B14" s="176">
        <v>21732</v>
      </c>
    </row>
    <row r="15" spans="1:3">
      <c r="A15" s="411">
        <v>35462</v>
      </c>
      <c r="B15" s="176">
        <v>21700</v>
      </c>
    </row>
    <row r="16" spans="1:3">
      <c r="A16" s="411">
        <v>35490</v>
      </c>
      <c r="B16" s="176">
        <v>21262</v>
      </c>
    </row>
    <row r="17" spans="1:2">
      <c r="A17" s="411">
        <v>35521</v>
      </c>
      <c r="B17" s="176">
        <v>20469</v>
      </c>
    </row>
    <row r="18" spans="1:2">
      <c r="A18" s="411">
        <v>35551</v>
      </c>
      <c r="B18" s="176">
        <v>19256</v>
      </c>
    </row>
    <row r="19" spans="1:2">
      <c r="A19" s="411">
        <v>35582</v>
      </c>
      <c r="B19" s="176">
        <v>18198</v>
      </c>
    </row>
    <row r="20" spans="1:2">
      <c r="A20" s="411">
        <v>35612</v>
      </c>
      <c r="B20" s="176">
        <v>18235</v>
      </c>
    </row>
    <row r="21" spans="1:2">
      <c r="A21" s="411">
        <v>35643</v>
      </c>
      <c r="B21" s="176">
        <v>17795</v>
      </c>
    </row>
    <row r="22" spans="1:2">
      <c r="A22" s="411">
        <v>35674</v>
      </c>
      <c r="B22" s="176">
        <v>16990</v>
      </c>
    </row>
    <row r="23" spans="1:2">
      <c r="A23" s="411">
        <v>35704</v>
      </c>
      <c r="B23" s="176">
        <v>16218</v>
      </c>
    </row>
    <row r="24" spans="1:2">
      <c r="A24" s="411">
        <v>35735</v>
      </c>
      <c r="B24" s="176">
        <v>15676</v>
      </c>
    </row>
    <row r="25" spans="1:2">
      <c r="A25" s="411">
        <v>35765</v>
      </c>
      <c r="B25" s="176">
        <v>15144</v>
      </c>
    </row>
    <row r="26" spans="1:2">
      <c r="A26" s="411">
        <v>35796</v>
      </c>
      <c r="B26" s="176">
        <v>15103</v>
      </c>
    </row>
    <row r="27" spans="1:2">
      <c r="A27" s="411">
        <v>35827</v>
      </c>
      <c r="B27" s="176">
        <v>14445</v>
      </c>
    </row>
    <row r="28" spans="1:2">
      <c r="A28" s="411">
        <v>35855</v>
      </c>
      <c r="B28" s="176">
        <v>13821</v>
      </c>
    </row>
    <row r="29" spans="1:2">
      <c r="A29" s="411">
        <v>35886</v>
      </c>
      <c r="B29" s="176">
        <v>13602</v>
      </c>
    </row>
    <row r="30" spans="1:2">
      <c r="A30" s="411">
        <v>35916</v>
      </c>
      <c r="B30" s="176">
        <v>13231</v>
      </c>
    </row>
    <row r="31" spans="1:2">
      <c r="A31" s="411">
        <v>35947</v>
      </c>
      <c r="B31" s="176">
        <v>12984</v>
      </c>
    </row>
    <row r="32" spans="1:2">
      <c r="A32" s="411">
        <v>35977</v>
      </c>
      <c r="B32" s="176">
        <v>13094</v>
      </c>
    </row>
    <row r="33" spans="1:2">
      <c r="A33" s="411">
        <v>36008</v>
      </c>
      <c r="B33" s="176">
        <v>13226</v>
      </c>
    </row>
    <row r="34" spans="1:2">
      <c r="A34" s="411">
        <v>36039</v>
      </c>
      <c r="B34" s="176">
        <v>13091</v>
      </c>
    </row>
    <row r="35" spans="1:2">
      <c r="A35" s="411">
        <v>36069</v>
      </c>
      <c r="B35" s="176">
        <v>12784</v>
      </c>
    </row>
    <row r="36" spans="1:2">
      <c r="A36" s="411">
        <v>36100</v>
      </c>
      <c r="B36" s="176">
        <v>13054</v>
      </c>
    </row>
    <row r="37" spans="1:2">
      <c r="A37" s="411">
        <v>36130</v>
      </c>
      <c r="B37" s="176">
        <v>13041</v>
      </c>
    </row>
    <row r="38" spans="1:2">
      <c r="A38" s="411">
        <v>36161</v>
      </c>
      <c r="B38" s="176">
        <v>13082</v>
      </c>
    </row>
    <row r="39" spans="1:2">
      <c r="A39" s="411">
        <v>36192</v>
      </c>
      <c r="B39" s="176">
        <v>12932</v>
      </c>
    </row>
    <row r="40" spans="1:2">
      <c r="A40" s="411">
        <v>36220</v>
      </c>
      <c r="B40" s="176">
        <v>12931</v>
      </c>
    </row>
    <row r="41" spans="1:2">
      <c r="A41" s="411">
        <v>36251</v>
      </c>
      <c r="B41" s="176">
        <v>12799</v>
      </c>
    </row>
    <row r="42" spans="1:2">
      <c r="A42" s="411">
        <v>36281</v>
      </c>
      <c r="B42" s="176">
        <v>12645</v>
      </c>
    </row>
    <row r="43" spans="1:2">
      <c r="A43" s="411">
        <v>36312</v>
      </c>
      <c r="B43" s="176">
        <v>12497</v>
      </c>
    </row>
    <row r="44" spans="1:2">
      <c r="A44" s="411">
        <v>36342</v>
      </c>
      <c r="B44" s="176">
        <v>12722</v>
      </c>
    </row>
    <row r="45" spans="1:2">
      <c r="A45" s="411">
        <v>36373</v>
      </c>
      <c r="B45" s="176">
        <v>12927</v>
      </c>
    </row>
    <row r="46" spans="1:2">
      <c r="A46" s="411">
        <v>36404</v>
      </c>
      <c r="B46" s="176">
        <v>12722</v>
      </c>
    </row>
    <row r="47" spans="1:2">
      <c r="A47" s="411">
        <v>36434</v>
      </c>
      <c r="B47" s="176">
        <v>12903</v>
      </c>
    </row>
    <row r="48" spans="1:2">
      <c r="A48" s="411">
        <v>36465</v>
      </c>
      <c r="B48" s="176">
        <v>12685</v>
      </c>
    </row>
    <row r="49" spans="1:2">
      <c r="A49" s="411">
        <v>36495</v>
      </c>
      <c r="B49" s="176">
        <v>12451</v>
      </c>
    </row>
    <row r="50" spans="1:2">
      <c r="A50" s="411">
        <v>36526</v>
      </c>
      <c r="B50" s="176">
        <v>12590</v>
      </c>
    </row>
    <row r="51" spans="1:2">
      <c r="A51" s="411">
        <v>36557</v>
      </c>
      <c r="B51" s="176">
        <v>12271</v>
      </c>
    </row>
    <row r="52" spans="1:2">
      <c r="A52" s="411">
        <v>36586</v>
      </c>
      <c r="B52" s="176">
        <v>12394</v>
      </c>
    </row>
    <row r="53" spans="1:2">
      <c r="A53" s="411">
        <v>36617</v>
      </c>
      <c r="B53" s="176">
        <v>12404</v>
      </c>
    </row>
    <row r="54" spans="1:2">
      <c r="A54" s="411">
        <v>36647</v>
      </c>
      <c r="B54" s="176">
        <v>12223</v>
      </c>
    </row>
    <row r="55" spans="1:2">
      <c r="A55" s="411">
        <v>36678</v>
      </c>
      <c r="B55" s="176">
        <v>12469</v>
      </c>
    </row>
    <row r="56" spans="1:2">
      <c r="A56" s="411">
        <v>36708</v>
      </c>
      <c r="B56" s="176">
        <v>12713</v>
      </c>
    </row>
    <row r="57" spans="1:2">
      <c r="A57" s="411">
        <v>36739</v>
      </c>
      <c r="B57" s="176">
        <v>13085</v>
      </c>
    </row>
    <row r="58" spans="1:2">
      <c r="A58" s="411">
        <v>36770</v>
      </c>
      <c r="B58" s="176">
        <v>12832</v>
      </c>
    </row>
    <row r="59" spans="1:2">
      <c r="A59" s="411">
        <v>36800</v>
      </c>
      <c r="B59" s="176">
        <v>12850</v>
      </c>
    </row>
    <row r="60" spans="1:2">
      <c r="A60" s="411">
        <v>36831</v>
      </c>
      <c r="B60" s="176">
        <v>12700</v>
      </c>
    </row>
    <row r="61" spans="1:2">
      <c r="A61" s="411">
        <v>36861</v>
      </c>
      <c r="B61" s="176">
        <v>12567</v>
      </c>
    </row>
    <row r="62" spans="1:2">
      <c r="A62" s="411">
        <v>36892</v>
      </c>
      <c r="B62" s="176">
        <v>12878</v>
      </c>
    </row>
    <row r="63" spans="1:2">
      <c r="A63" s="411">
        <v>36923</v>
      </c>
      <c r="B63" s="176">
        <v>12710</v>
      </c>
    </row>
    <row r="64" spans="1:2">
      <c r="A64" s="411">
        <v>36951</v>
      </c>
      <c r="B64" s="176">
        <v>12864</v>
      </c>
    </row>
    <row r="65" spans="1:2">
      <c r="A65" s="411">
        <v>36982</v>
      </c>
      <c r="B65" s="176">
        <v>12982</v>
      </c>
    </row>
    <row r="66" spans="1:2">
      <c r="A66" s="411">
        <v>37012</v>
      </c>
      <c r="B66" s="176">
        <v>13078</v>
      </c>
    </row>
    <row r="67" spans="1:2">
      <c r="A67" s="411">
        <v>37043</v>
      </c>
      <c r="B67" s="176">
        <v>13105</v>
      </c>
    </row>
    <row r="68" spans="1:2">
      <c r="A68" s="411">
        <v>37073</v>
      </c>
      <c r="B68" s="176">
        <v>13484</v>
      </c>
    </row>
    <row r="69" spans="1:2">
      <c r="A69" s="411">
        <v>37104</v>
      </c>
      <c r="B69" s="176">
        <v>13553</v>
      </c>
    </row>
    <row r="70" spans="1:2">
      <c r="A70" s="411">
        <v>37135</v>
      </c>
      <c r="B70" s="176">
        <v>13647</v>
      </c>
    </row>
    <row r="71" spans="1:2">
      <c r="A71" s="411">
        <v>37165</v>
      </c>
      <c r="B71" s="176">
        <v>13566</v>
      </c>
    </row>
    <row r="72" spans="1:2">
      <c r="A72" s="411">
        <v>37196</v>
      </c>
      <c r="B72" s="176">
        <v>13669</v>
      </c>
    </row>
    <row r="73" spans="1:2">
      <c r="A73" s="411">
        <v>37226</v>
      </c>
      <c r="B73" s="176">
        <v>13655</v>
      </c>
    </row>
    <row r="74" spans="1:2">
      <c r="A74" s="411">
        <v>37257</v>
      </c>
      <c r="B74" s="176">
        <v>13884</v>
      </c>
    </row>
    <row r="75" spans="1:2">
      <c r="A75" s="411">
        <v>37288</v>
      </c>
      <c r="B75" s="176">
        <v>13810</v>
      </c>
    </row>
    <row r="76" spans="1:2">
      <c r="A76" s="411">
        <v>37316</v>
      </c>
      <c r="B76" s="176">
        <v>13879</v>
      </c>
    </row>
    <row r="77" spans="1:2">
      <c r="A77" s="411">
        <v>37347</v>
      </c>
      <c r="B77" s="176">
        <v>13767</v>
      </c>
    </row>
    <row r="78" spans="1:2">
      <c r="A78" s="411">
        <v>37377</v>
      </c>
      <c r="B78" s="176">
        <v>13823</v>
      </c>
    </row>
    <row r="79" spans="1:2">
      <c r="A79" s="411">
        <v>37408</v>
      </c>
      <c r="B79" s="176">
        <v>13919</v>
      </c>
    </row>
    <row r="80" spans="1:2">
      <c r="A80" s="411">
        <v>37438</v>
      </c>
      <c r="B80" s="176">
        <v>14268</v>
      </c>
    </row>
    <row r="81" spans="1:2">
      <c r="A81" s="411">
        <v>37469</v>
      </c>
      <c r="B81" s="176">
        <v>14568</v>
      </c>
    </row>
    <row r="82" spans="1:2">
      <c r="A82" s="411">
        <v>37500</v>
      </c>
      <c r="B82" s="176">
        <v>14693</v>
      </c>
    </row>
    <row r="83" spans="1:2">
      <c r="A83" s="411">
        <v>37530</v>
      </c>
      <c r="B83" s="176">
        <v>14777</v>
      </c>
    </row>
    <row r="84" spans="1:2">
      <c r="A84" s="411">
        <v>37561</v>
      </c>
      <c r="B84" s="176">
        <v>14792</v>
      </c>
    </row>
    <row r="85" spans="1:2">
      <c r="A85" s="411">
        <v>37591</v>
      </c>
      <c r="B85" s="176">
        <v>14755</v>
      </c>
    </row>
    <row r="86" spans="1:2">
      <c r="A86" s="411">
        <v>37622</v>
      </c>
      <c r="B86" s="176">
        <v>14970</v>
      </c>
    </row>
    <row r="87" spans="1:2">
      <c r="A87" s="411">
        <v>37653</v>
      </c>
      <c r="B87" s="176">
        <v>14935</v>
      </c>
    </row>
    <row r="88" spans="1:2">
      <c r="A88" s="411">
        <v>37681</v>
      </c>
      <c r="B88" s="176">
        <v>15092</v>
      </c>
    </row>
    <row r="89" spans="1:2">
      <c r="A89" s="411">
        <v>37712</v>
      </c>
      <c r="B89" s="176">
        <v>15197</v>
      </c>
    </row>
    <row r="90" spans="1:2">
      <c r="A90" s="411">
        <v>37742</v>
      </c>
      <c r="B90" s="176">
        <v>15407</v>
      </c>
    </row>
    <row r="91" spans="1:2">
      <c r="A91" s="411">
        <v>37773</v>
      </c>
      <c r="B91" s="176">
        <v>15676</v>
      </c>
    </row>
    <row r="92" spans="1:2">
      <c r="A92" s="411">
        <v>37803</v>
      </c>
      <c r="B92" s="176">
        <v>15892</v>
      </c>
    </row>
    <row r="93" spans="1:2">
      <c r="A93" s="411">
        <v>37834</v>
      </c>
      <c r="B93" s="176">
        <v>16247</v>
      </c>
    </row>
    <row r="94" spans="1:2">
      <c r="A94" s="411">
        <v>37865</v>
      </c>
      <c r="B94" s="176">
        <v>15859</v>
      </c>
    </row>
    <row r="95" spans="1:2">
      <c r="A95" s="411">
        <v>37895</v>
      </c>
      <c r="B95" s="176">
        <v>16164</v>
      </c>
    </row>
    <row r="96" spans="1:2">
      <c r="A96" s="411">
        <v>37926</v>
      </c>
      <c r="B96" s="176">
        <v>16114</v>
      </c>
    </row>
    <row r="97" spans="1:2">
      <c r="A97" s="411">
        <v>37956</v>
      </c>
      <c r="B97" s="176">
        <v>16156</v>
      </c>
    </row>
    <row r="98" spans="1:2">
      <c r="A98" s="411">
        <v>37987</v>
      </c>
      <c r="B98" s="176">
        <v>16429</v>
      </c>
    </row>
    <row r="99" spans="1:2">
      <c r="A99" s="411">
        <v>38018</v>
      </c>
      <c r="B99" s="176">
        <v>16574</v>
      </c>
    </row>
    <row r="100" spans="1:2">
      <c r="A100" s="411">
        <v>38047</v>
      </c>
      <c r="B100" s="176">
        <v>16741</v>
      </c>
    </row>
    <row r="101" spans="1:2">
      <c r="A101" s="411">
        <v>38078</v>
      </c>
      <c r="B101" s="176">
        <v>16610</v>
      </c>
    </row>
    <row r="102" spans="1:2">
      <c r="A102" s="411">
        <v>38108</v>
      </c>
      <c r="B102" s="176">
        <v>16663</v>
      </c>
    </row>
    <row r="103" spans="1:2">
      <c r="A103" s="411">
        <v>38139</v>
      </c>
      <c r="B103" s="176">
        <v>16870</v>
      </c>
    </row>
    <row r="104" spans="1:2">
      <c r="A104" s="411">
        <v>38169</v>
      </c>
      <c r="B104" s="176">
        <v>17304</v>
      </c>
    </row>
    <row r="105" spans="1:2">
      <c r="A105" s="411">
        <v>38200</v>
      </c>
      <c r="B105" s="176">
        <v>17703</v>
      </c>
    </row>
    <row r="106" spans="1:2">
      <c r="A106" s="411">
        <v>38231</v>
      </c>
      <c r="B106" s="176">
        <v>17636</v>
      </c>
    </row>
    <row r="107" spans="1:2">
      <c r="A107" s="411">
        <v>38261</v>
      </c>
      <c r="B107" s="176">
        <v>17622</v>
      </c>
    </row>
    <row r="108" spans="1:2">
      <c r="A108" s="411">
        <v>38292</v>
      </c>
      <c r="B108" s="176">
        <v>17476</v>
      </c>
    </row>
    <row r="109" spans="1:2">
      <c r="A109" s="411">
        <v>38322</v>
      </c>
      <c r="B109" s="176">
        <v>17441</v>
      </c>
    </row>
    <row r="110" spans="1:2">
      <c r="A110" s="411">
        <v>38353</v>
      </c>
      <c r="B110" s="176">
        <v>17673</v>
      </c>
    </row>
    <row r="111" spans="1:2">
      <c r="A111" s="411">
        <v>38384</v>
      </c>
      <c r="B111" s="176">
        <v>17531</v>
      </c>
    </row>
    <row r="112" spans="1:2">
      <c r="A112" s="411">
        <v>38412</v>
      </c>
      <c r="B112" s="176">
        <v>17399</v>
      </c>
    </row>
    <row r="113" spans="1:2">
      <c r="A113" s="411">
        <v>38443</v>
      </c>
      <c r="B113" s="176">
        <v>17492</v>
      </c>
    </row>
    <row r="114" spans="1:2">
      <c r="A114" s="411">
        <v>38473</v>
      </c>
      <c r="B114" s="176">
        <v>17488</v>
      </c>
    </row>
    <row r="115" spans="1:2">
      <c r="A115" s="411">
        <v>38504</v>
      </c>
      <c r="B115" s="176">
        <v>17404</v>
      </c>
    </row>
    <row r="116" spans="1:2">
      <c r="A116" s="411">
        <v>38534</v>
      </c>
      <c r="B116" s="176">
        <v>17812</v>
      </c>
    </row>
    <row r="117" spans="1:2">
      <c r="A117" s="411">
        <v>38565</v>
      </c>
      <c r="B117" s="176">
        <v>17996</v>
      </c>
    </row>
    <row r="118" spans="1:2">
      <c r="A118" s="411">
        <v>38596</v>
      </c>
      <c r="B118" s="176">
        <v>18126</v>
      </c>
    </row>
    <row r="119" spans="1:2">
      <c r="A119" s="411">
        <v>38626</v>
      </c>
      <c r="B119" s="176">
        <v>17994</v>
      </c>
    </row>
    <row r="120" spans="1:2">
      <c r="A120" s="411">
        <v>38657</v>
      </c>
      <c r="B120" s="176">
        <v>17491</v>
      </c>
    </row>
    <row r="121" spans="1:2">
      <c r="A121" s="411">
        <v>38687</v>
      </c>
      <c r="B121" s="176">
        <v>17400</v>
      </c>
    </row>
    <row r="122" spans="1:2">
      <c r="A122" s="411">
        <v>38718</v>
      </c>
      <c r="B122" s="176">
        <v>17378</v>
      </c>
    </row>
    <row r="123" spans="1:2">
      <c r="A123" s="411">
        <v>38749</v>
      </c>
      <c r="B123" s="176">
        <v>17113</v>
      </c>
    </row>
    <row r="124" spans="1:2">
      <c r="A124" s="411">
        <v>38777</v>
      </c>
      <c r="B124" s="176">
        <v>17052</v>
      </c>
    </row>
    <row r="125" spans="1:2">
      <c r="A125" s="411">
        <v>38808</v>
      </c>
      <c r="B125" s="176">
        <v>17106</v>
      </c>
    </row>
    <row r="126" spans="1:2">
      <c r="A126" s="411">
        <v>38838</v>
      </c>
      <c r="B126" s="176">
        <v>16947</v>
      </c>
    </row>
    <row r="127" spans="1:2">
      <c r="A127" s="411">
        <v>38869</v>
      </c>
      <c r="B127" s="176">
        <v>16963</v>
      </c>
    </row>
    <row r="128" spans="1:2">
      <c r="A128" s="411">
        <v>38899</v>
      </c>
      <c r="B128" s="176">
        <v>17129</v>
      </c>
    </row>
    <row r="129" spans="1:3">
      <c r="A129" s="411">
        <v>38930</v>
      </c>
      <c r="B129" s="176">
        <v>17236</v>
      </c>
    </row>
    <row r="130" spans="1:3">
      <c r="A130" s="411">
        <v>38961</v>
      </c>
      <c r="B130" s="176">
        <v>16370</v>
      </c>
      <c r="C130" s="176"/>
    </row>
    <row r="131" spans="1:3">
      <c r="A131" s="411">
        <v>38991</v>
      </c>
      <c r="B131" s="176">
        <v>15995</v>
      </c>
      <c r="C131" s="176"/>
    </row>
    <row r="132" spans="1:3">
      <c r="A132" s="411">
        <v>39022</v>
      </c>
      <c r="B132" s="176">
        <v>15319</v>
      </c>
      <c r="C132" s="176"/>
    </row>
    <row r="133" spans="1:3">
      <c r="A133" s="411">
        <v>39052</v>
      </c>
      <c r="B133" s="176">
        <v>15059</v>
      </c>
      <c r="C133" s="176"/>
    </row>
    <row r="134" spans="1:3">
      <c r="A134" s="411">
        <v>39083</v>
      </c>
      <c r="B134" s="176">
        <v>14813</v>
      </c>
      <c r="C134" s="176"/>
    </row>
    <row r="135" spans="1:3">
      <c r="A135" s="411">
        <v>39114</v>
      </c>
      <c r="B135" s="176">
        <v>14527</v>
      </c>
      <c r="C135" s="176"/>
    </row>
    <row r="136" spans="1:3">
      <c r="A136" s="411">
        <v>39142</v>
      </c>
      <c r="B136" s="176">
        <v>14406</v>
      </c>
      <c r="C136" s="176"/>
    </row>
    <row r="137" spans="1:3">
      <c r="A137" s="411">
        <v>39173</v>
      </c>
      <c r="B137" s="176">
        <v>14307</v>
      </c>
      <c r="C137" s="176"/>
    </row>
    <row r="138" spans="1:3">
      <c r="A138" s="411">
        <v>39203</v>
      </c>
      <c r="B138" s="176">
        <v>14296</v>
      </c>
      <c r="C138" s="176"/>
    </row>
    <row r="139" spans="1:3">
      <c r="A139" s="411">
        <v>39234</v>
      </c>
      <c r="B139" s="176">
        <v>14197</v>
      </c>
      <c r="C139" s="176"/>
    </row>
    <row r="140" spans="1:3">
      <c r="A140" s="411">
        <v>39264</v>
      </c>
      <c r="B140" s="176">
        <v>14129</v>
      </c>
      <c r="C140" s="176"/>
    </row>
    <row r="141" spans="1:3">
      <c r="A141" s="411">
        <v>39295</v>
      </c>
      <c r="B141" s="176">
        <v>14277</v>
      </c>
      <c r="C141" s="176"/>
    </row>
    <row r="142" spans="1:3">
      <c r="A142" s="411">
        <v>39326</v>
      </c>
      <c r="B142" s="176">
        <v>13876</v>
      </c>
      <c r="C142" s="176"/>
    </row>
    <row r="143" spans="1:3">
      <c r="A143" s="411">
        <v>39356</v>
      </c>
      <c r="B143" s="176">
        <v>13484</v>
      </c>
      <c r="C143" s="176"/>
    </row>
    <row r="144" spans="1:3">
      <c r="A144" s="411">
        <v>39387</v>
      </c>
      <c r="B144" s="176">
        <v>13047</v>
      </c>
      <c r="C144" s="176"/>
    </row>
    <row r="145" spans="1:3">
      <c r="A145" s="411">
        <v>39417</v>
      </c>
      <c r="B145" s="176">
        <v>12837</v>
      </c>
      <c r="C145" s="176"/>
    </row>
    <row r="146" spans="1:3">
      <c r="A146" s="411">
        <v>39448</v>
      </c>
      <c r="B146" s="176">
        <v>12768</v>
      </c>
      <c r="C146" s="176"/>
    </row>
    <row r="147" spans="1:3">
      <c r="A147" s="411">
        <v>39479</v>
      </c>
      <c r="B147" s="176">
        <v>12575</v>
      </c>
      <c r="C147" s="176"/>
    </row>
    <row r="148" spans="1:3">
      <c r="A148" s="411">
        <v>39508</v>
      </c>
      <c r="B148" s="176">
        <v>12308</v>
      </c>
      <c r="C148" s="176"/>
    </row>
    <row r="149" spans="1:3">
      <c r="A149" s="411">
        <v>39539</v>
      </c>
      <c r="B149" s="176">
        <v>12045</v>
      </c>
      <c r="C149" s="176"/>
    </row>
    <row r="150" spans="1:3">
      <c r="A150" s="411">
        <v>39569</v>
      </c>
      <c r="B150" s="176">
        <v>11923</v>
      </c>
      <c r="C150" s="176"/>
    </row>
    <row r="151" spans="1:3">
      <c r="A151" s="411">
        <v>39600</v>
      </c>
      <c r="B151" s="176">
        <v>11929</v>
      </c>
      <c r="C151" s="176"/>
    </row>
    <row r="152" spans="1:3">
      <c r="A152" s="411">
        <v>39630</v>
      </c>
      <c r="B152" s="176">
        <v>12024</v>
      </c>
      <c r="C152" s="176"/>
    </row>
    <row r="153" spans="1:3">
      <c r="A153" s="411">
        <v>39661</v>
      </c>
      <c r="B153" s="176">
        <v>12358</v>
      </c>
      <c r="C153" s="176"/>
    </row>
    <row r="154" spans="1:3">
      <c r="A154" s="411">
        <v>39692</v>
      </c>
      <c r="B154" s="176">
        <v>12440</v>
      </c>
      <c r="C154" s="176"/>
    </row>
    <row r="155" spans="1:3">
      <c r="A155" s="411">
        <v>39722</v>
      </c>
      <c r="B155" s="176">
        <v>12327</v>
      </c>
      <c r="C155" s="176"/>
    </row>
    <row r="156" spans="1:3">
      <c r="A156" s="411">
        <v>39753</v>
      </c>
      <c r="B156" s="176">
        <v>12064</v>
      </c>
      <c r="C156" s="176"/>
    </row>
    <row r="157" spans="1:3">
      <c r="A157" s="411">
        <v>39783</v>
      </c>
      <c r="B157" s="176">
        <v>12182</v>
      </c>
      <c r="C157" s="176"/>
    </row>
    <row r="158" spans="1:3">
      <c r="A158" s="411">
        <v>39814</v>
      </c>
      <c r="B158" s="176">
        <v>12169</v>
      </c>
      <c r="C158" s="176"/>
    </row>
    <row r="159" spans="1:3">
      <c r="A159" s="411">
        <v>39845</v>
      </c>
      <c r="B159" s="176">
        <v>12233</v>
      </c>
      <c r="C159" s="176"/>
    </row>
    <row r="160" spans="1:3">
      <c r="A160" s="411">
        <v>39873</v>
      </c>
      <c r="B160" s="176">
        <v>12320</v>
      </c>
      <c r="C160" s="176"/>
    </row>
    <row r="161" spans="1:3">
      <c r="A161" s="411">
        <v>39904</v>
      </c>
      <c r="B161" s="176">
        <v>12412</v>
      </c>
      <c r="C161" s="176"/>
    </row>
    <row r="162" spans="1:3">
      <c r="A162" s="411">
        <v>39934</v>
      </c>
      <c r="B162" s="176">
        <v>12611</v>
      </c>
      <c r="C162" s="176"/>
    </row>
    <row r="163" spans="1:3">
      <c r="A163" s="411">
        <v>39965</v>
      </c>
      <c r="B163" s="176">
        <v>12825</v>
      </c>
      <c r="C163" s="176"/>
    </row>
    <row r="164" spans="1:3">
      <c r="A164" s="411">
        <v>39995</v>
      </c>
      <c r="B164" s="176">
        <v>13381</v>
      </c>
      <c r="C164" s="176"/>
    </row>
    <row r="165" spans="1:3">
      <c r="A165" s="411">
        <v>40026</v>
      </c>
      <c r="B165" s="176">
        <v>13740</v>
      </c>
      <c r="C165" s="176"/>
    </row>
    <row r="166" spans="1:3">
      <c r="A166" s="411">
        <v>40057</v>
      </c>
      <c r="B166" s="176">
        <v>13675</v>
      </c>
      <c r="C166" s="176"/>
    </row>
    <row r="167" spans="1:3">
      <c r="A167" s="411">
        <v>40087</v>
      </c>
      <c r="B167" s="176">
        <v>13773</v>
      </c>
      <c r="C167" s="176"/>
    </row>
    <row r="168" spans="1:3">
      <c r="A168" s="411">
        <v>40118</v>
      </c>
      <c r="B168" s="176">
        <v>13547</v>
      </c>
      <c r="C168" s="176"/>
    </row>
    <row r="169" spans="1:3">
      <c r="A169" s="411">
        <v>40148</v>
      </c>
      <c r="B169" s="176">
        <v>13599</v>
      </c>
      <c r="C169" s="176"/>
    </row>
    <row r="170" spans="1:3">
      <c r="A170" s="411">
        <v>40179</v>
      </c>
      <c r="B170" s="176">
        <v>13569</v>
      </c>
      <c r="C170" s="176"/>
    </row>
    <row r="171" spans="1:3">
      <c r="A171" s="411">
        <v>40210</v>
      </c>
      <c r="B171" s="176">
        <v>13557</v>
      </c>
      <c r="C171" s="176"/>
    </row>
    <row r="172" spans="1:3">
      <c r="A172" s="411">
        <v>40238</v>
      </c>
      <c r="B172" s="176">
        <v>13419</v>
      </c>
      <c r="C172" s="176"/>
    </row>
    <row r="173" spans="1:3">
      <c r="A173" s="411">
        <v>40269</v>
      </c>
      <c r="B173" s="176">
        <v>13409</v>
      </c>
      <c r="C173" s="176"/>
    </row>
    <row r="174" spans="1:3">
      <c r="A174" s="411">
        <v>40299</v>
      </c>
      <c r="B174" s="176">
        <v>13341</v>
      </c>
      <c r="C174" s="176"/>
    </row>
    <row r="175" spans="1:3">
      <c r="A175" s="411">
        <v>40330</v>
      </c>
      <c r="B175" s="176">
        <v>13345</v>
      </c>
      <c r="C175" s="176"/>
    </row>
    <row r="176" spans="1:3">
      <c r="A176" s="411">
        <v>40360</v>
      </c>
      <c r="B176" s="176">
        <v>13871</v>
      </c>
      <c r="C176" s="176"/>
    </row>
    <row r="177" spans="1:3">
      <c r="A177" s="411">
        <v>40391</v>
      </c>
      <c r="B177" s="176">
        <v>14386</v>
      </c>
      <c r="C177" s="176"/>
    </row>
    <row r="178" spans="1:3">
      <c r="A178" s="411">
        <v>40422</v>
      </c>
      <c r="B178" s="176">
        <v>14548</v>
      </c>
      <c r="C178" s="176"/>
    </row>
    <row r="179" spans="1:3">
      <c r="A179" s="411">
        <v>40452</v>
      </c>
      <c r="B179" s="176">
        <v>14639</v>
      </c>
      <c r="C179" s="176"/>
    </row>
    <row r="180" spans="1:3">
      <c r="A180" s="411">
        <v>40483</v>
      </c>
      <c r="B180" s="176">
        <v>14421</v>
      </c>
      <c r="C180" s="176"/>
    </row>
    <row r="181" spans="1:3">
      <c r="A181" s="411">
        <v>40513</v>
      </c>
      <c r="B181" s="176">
        <v>14460</v>
      </c>
      <c r="C181" s="176"/>
    </row>
    <row r="182" spans="1:3">
      <c r="A182" s="411">
        <v>40544</v>
      </c>
      <c r="B182" s="176">
        <v>14366</v>
      </c>
      <c r="C182" s="176"/>
    </row>
    <row r="183" spans="1:3">
      <c r="A183" s="411">
        <v>40575</v>
      </c>
      <c r="B183" s="176">
        <v>13983</v>
      </c>
      <c r="C183" s="176"/>
    </row>
    <row r="184" spans="1:3">
      <c r="A184" s="411">
        <v>40603</v>
      </c>
      <c r="B184" s="176">
        <v>13837</v>
      </c>
      <c r="C184" s="176"/>
    </row>
    <row r="185" spans="1:3">
      <c r="A185" s="411">
        <v>40634</v>
      </c>
      <c r="B185" s="176">
        <v>13682</v>
      </c>
      <c r="C185" s="176"/>
    </row>
    <row r="186" spans="1:3">
      <c r="A186" s="411">
        <v>40664</v>
      </c>
      <c r="B186" s="176">
        <v>13375</v>
      </c>
      <c r="C186" s="176"/>
    </row>
    <row r="187" spans="1:3">
      <c r="A187" s="411">
        <v>40695</v>
      </c>
      <c r="B187" s="176">
        <v>13210</v>
      </c>
      <c r="C187" s="176"/>
    </row>
    <row r="188" spans="1:3">
      <c r="A188" s="411">
        <v>40725</v>
      </c>
      <c r="B188" s="176">
        <v>13228</v>
      </c>
      <c r="C188" s="176"/>
    </row>
    <row r="189" spans="1:3">
      <c r="A189" s="411">
        <v>40756</v>
      </c>
      <c r="B189" s="176">
        <v>13337</v>
      </c>
      <c r="C189" s="176"/>
    </row>
    <row r="190" spans="1:3">
      <c r="A190" s="411">
        <v>40787</v>
      </c>
      <c r="B190" s="176">
        <v>13231</v>
      </c>
      <c r="C190" s="176"/>
    </row>
    <row r="191" spans="1:3">
      <c r="A191" s="411">
        <v>40817</v>
      </c>
      <c r="B191" s="176">
        <v>13014</v>
      </c>
      <c r="C191" s="176"/>
    </row>
    <row r="192" spans="1:3">
      <c r="A192" s="411">
        <v>40848</v>
      </c>
      <c r="B192" s="176">
        <v>12338</v>
      </c>
      <c r="C192" s="176"/>
    </row>
    <row r="193" spans="1:3">
      <c r="A193" s="411">
        <v>40878</v>
      </c>
      <c r="B193" s="176">
        <v>11809</v>
      </c>
      <c r="C193" s="176"/>
    </row>
    <row r="194" spans="1:3">
      <c r="A194" s="411">
        <v>40909</v>
      </c>
      <c r="B194" s="176">
        <v>11284</v>
      </c>
      <c r="C194" s="176"/>
    </row>
    <row r="195" spans="1:3">
      <c r="A195" s="411">
        <v>40940</v>
      </c>
      <c r="B195" s="176">
        <v>10856</v>
      </c>
      <c r="C195" s="176"/>
    </row>
    <row r="196" spans="1:3">
      <c r="A196" s="411">
        <v>40969</v>
      </c>
      <c r="B196" s="176">
        <v>10325</v>
      </c>
      <c r="C196" s="176"/>
    </row>
    <row r="197" spans="1:3">
      <c r="A197" s="411">
        <v>41000</v>
      </c>
      <c r="B197" s="176">
        <v>9940</v>
      </c>
      <c r="C197" s="176"/>
    </row>
    <row r="198" spans="1:3">
      <c r="A198" s="411">
        <v>41030</v>
      </c>
      <c r="B198" s="176">
        <v>9531</v>
      </c>
      <c r="C198" s="176"/>
    </row>
    <row r="199" spans="1:3">
      <c r="A199" s="411">
        <v>41061</v>
      </c>
      <c r="B199" s="176">
        <v>9323</v>
      </c>
      <c r="C199" s="176"/>
    </row>
    <row r="200" spans="1:3">
      <c r="A200" s="411">
        <v>41091</v>
      </c>
      <c r="B200" s="176">
        <v>9265</v>
      </c>
      <c r="C200" s="176"/>
    </row>
    <row r="201" spans="1:3">
      <c r="A201" s="411">
        <v>41122</v>
      </c>
      <c r="B201" s="176">
        <v>9246</v>
      </c>
      <c r="C201" s="176"/>
    </row>
    <row r="202" spans="1:3">
      <c r="A202" s="411">
        <v>41153</v>
      </c>
      <c r="B202" s="176">
        <v>9140</v>
      </c>
      <c r="C202" s="176"/>
    </row>
    <row r="203" spans="1:3">
      <c r="A203" s="411">
        <v>41183</v>
      </c>
      <c r="B203" s="176">
        <v>9076</v>
      </c>
      <c r="C203" s="176"/>
    </row>
    <row r="204" spans="1:3">
      <c r="A204" s="411">
        <v>41214</v>
      </c>
      <c r="B204" s="176">
        <v>8643</v>
      </c>
      <c r="C204" s="176"/>
    </row>
    <row r="205" spans="1:3">
      <c r="A205" s="411">
        <v>41244</v>
      </c>
      <c r="B205" s="176">
        <v>8449</v>
      </c>
      <c r="C205" s="176"/>
    </row>
    <row r="206" spans="1:3">
      <c r="A206" s="411">
        <v>41275</v>
      </c>
      <c r="B206" s="176">
        <v>8252</v>
      </c>
      <c r="C206" s="176"/>
    </row>
    <row r="207" spans="1:3">
      <c r="A207" s="411">
        <v>41306</v>
      </c>
      <c r="B207" s="176">
        <v>8011</v>
      </c>
      <c r="C207" s="176"/>
    </row>
    <row r="208" spans="1:3">
      <c r="A208" s="411">
        <v>41334</v>
      </c>
      <c r="B208" s="176">
        <v>7747</v>
      </c>
      <c r="C208" s="176"/>
    </row>
    <row r="209" spans="1:3">
      <c r="A209" s="411">
        <v>41365</v>
      </c>
      <c r="B209" s="176">
        <v>7732</v>
      </c>
      <c r="C209" s="176"/>
    </row>
    <row r="210" spans="1:3">
      <c r="A210" s="411">
        <v>41395</v>
      </c>
      <c r="B210" s="176">
        <v>7489</v>
      </c>
      <c r="C210" s="176"/>
    </row>
    <row r="211" spans="1:3">
      <c r="A211" s="411">
        <v>41426</v>
      </c>
      <c r="B211" s="176">
        <v>7256</v>
      </c>
      <c r="C211" s="176"/>
    </row>
    <row r="212" spans="1:3">
      <c r="A212" s="411">
        <v>41456</v>
      </c>
      <c r="B212" s="176">
        <v>7265</v>
      </c>
      <c r="C212" s="176"/>
    </row>
    <row r="213" spans="1:3">
      <c r="A213" s="411">
        <v>41487</v>
      </c>
      <c r="B213" s="176">
        <v>7341</v>
      </c>
      <c r="C213" s="176"/>
    </row>
    <row r="214" spans="1:3">
      <c r="A214" s="411">
        <v>41518</v>
      </c>
      <c r="B214" s="176">
        <v>7243</v>
      </c>
      <c r="C214" s="176"/>
    </row>
    <row r="215" spans="1:3">
      <c r="A215" s="411">
        <v>41548</v>
      </c>
      <c r="B215" s="176">
        <v>7241</v>
      </c>
      <c r="C215" s="176"/>
    </row>
    <row r="216" spans="1:3">
      <c r="A216" s="411">
        <v>41579</v>
      </c>
      <c r="B216" s="176">
        <v>7001</v>
      </c>
      <c r="C216" s="176"/>
    </row>
    <row r="217" spans="1:3">
      <c r="A217" s="411">
        <v>41609</v>
      </c>
      <c r="B217" s="176">
        <v>6965</v>
      </c>
      <c r="C217" s="176"/>
    </row>
    <row r="218" spans="1:3">
      <c r="A218" s="411">
        <v>41640</v>
      </c>
      <c r="B218" s="176">
        <v>6803</v>
      </c>
      <c r="C218" s="176"/>
    </row>
    <row r="219" spans="1:3">
      <c r="A219" s="411">
        <v>41671</v>
      </c>
      <c r="B219" s="176">
        <v>6643</v>
      </c>
      <c r="C219" s="176"/>
    </row>
    <row r="220" spans="1:3">
      <c r="A220" s="411">
        <v>41699</v>
      </c>
      <c r="B220" s="176">
        <v>6548</v>
      </c>
      <c r="C220" s="176"/>
    </row>
    <row r="221" spans="1:3">
      <c r="A221" s="411">
        <v>41730</v>
      </c>
      <c r="B221" s="176">
        <v>6333</v>
      </c>
      <c r="C221" s="176"/>
    </row>
    <row r="222" spans="1:3">
      <c r="A222" s="411">
        <v>41760</v>
      </c>
      <c r="B222" s="176">
        <v>6274</v>
      </c>
      <c r="C222" s="176"/>
    </row>
    <row r="223" spans="1:3">
      <c r="A223" s="411">
        <v>41791</v>
      </c>
      <c r="B223" s="176">
        <v>6190</v>
      </c>
      <c r="C223" s="176"/>
    </row>
    <row r="224" spans="1:3">
      <c r="A224" s="411">
        <v>41821</v>
      </c>
      <c r="B224" s="176">
        <v>6331</v>
      </c>
      <c r="C224" s="176"/>
    </row>
    <row r="225" spans="1:3">
      <c r="A225" s="411">
        <v>41852</v>
      </c>
      <c r="B225" s="176">
        <v>6325</v>
      </c>
      <c r="C225" s="176"/>
    </row>
    <row r="226" spans="1:3">
      <c r="A226" s="411">
        <v>41883</v>
      </c>
      <c r="B226" s="176">
        <v>6245</v>
      </c>
      <c r="C226" s="176"/>
    </row>
    <row r="227" spans="1:3">
      <c r="A227" s="411">
        <v>41913</v>
      </c>
      <c r="B227" s="176">
        <v>6174</v>
      </c>
      <c r="C227" s="176"/>
    </row>
    <row r="228" spans="1:3">
      <c r="A228" s="411">
        <v>41944</v>
      </c>
      <c r="B228" s="176">
        <v>5987</v>
      </c>
      <c r="C228" s="176"/>
    </row>
    <row r="229" spans="1:3">
      <c r="A229" s="411">
        <v>41974</v>
      </c>
      <c r="B229" s="176">
        <v>5978</v>
      </c>
      <c r="C229" s="176"/>
    </row>
    <row r="230" spans="1:3">
      <c r="A230" s="411">
        <v>42005</v>
      </c>
      <c r="B230" s="176">
        <v>5814</v>
      </c>
      <c r="C230" s="176"/>
    </row>
    <row r="231" spans="1:3">
      <c r="A231" s="411">
        <v>42036</v>
      </c>
      <c r="B231" s="176">
        <v>5835</v>
      </c>
      <c r="C231" s="176"/>
    </row>
    <row r="232" spans="1:3">
      <c r="A232" s="411">
        <v>42064</v>
      </c>
      <c r="B232" s="176">
        <v>5739</v>
      </c>
      <c r="C232" s="176"/>
    </row>
    <row r="233" spans="1:3">
      <c r="A233" s="411">
        <v>42095</v>
      </c>
      <c r="B233" s="176">
        <v>5674</v>
      </c>
      <c r="C233" s="176"/>
    </row>
    <row r="234" spans="1:3">
      <c r="A234" s="411">
        <v>42125</v>
      </c>
      <c r="B234" s="176">
        <v>5563</v>
      </c>
      <c r="C234" s="176"/>
    </row>
    <row r="235" spans="1:3">
      <c r="A235" s="411">
        <v>42156</v>
      </c>
      <c r="B235" s="176">
        <v>5402</v>
      </c>
      <c r="C235" s="176"/>
    </row>
    <row r="236" spans="1:3">
      <c r="A236" s="411">
        <v>42186</v>
      </c>
      <c r="B236" s="176">
        <v>5691</v>
      </c>
      <c r="C236" s="176"/>
    </row>
    <row r="237" spans="1:3">
      <c r="A237" s="411">
        <v>42217</v>
      </c>
      <c r="B237" s="176">
        <v>5739</v>
      </c>
      <c r="C237" s="176"/>
    </row>
    <row r="238" spans="1:3">
      <c r="A238" s="411">
        <v>42248</v>
      </c>
      <c r="B238" s="176">
        <v>5754</v>
      </c>
      <c r="C238" s="176"/>
    </row>
    <row r="239" spans="1:3">
      <c r="A239" s="411">
        <v>42278</v>
      </c>
      <c r="B239" s="176">
        <v>5799</v>
      </c>
      <c r="C239" s="176"/>
    </row>
    <row r="240" spans="1:3">
      <c r="A240" s="411">
        <v>42309</v>
      </c>
      <c r="B240" s="176">
        <v>5600</v>
      </c>
      <c r="C240" s="176"/>
    </row>
    <row r="241" spans="1:3">
      <c r="A241" s="411">
        <v>42339</v>
      </c>
      <c r="B241" s="176">
        <v>5496</v>
      </c>
      <c r="C241" s="176"/>
    </row>
    <row r="242" spans="1:3">
      <c r="A242" s="411">
        <v>42370</v>
      </c>
      <c r="B242" s="176">
        <v>5370</v>
      </c>
      <c r="C242" s="176"/>
    </row>
    <row r="243" spans="1:3">
      <c r="A243" s="411">
        <v>42401</v>
      </c>
      <c r="B243" s="176">
        <v>5161</v>
      </c>
      <c r="C243" s="176"/>
    </row>
    <row r="244" spans="1:3">
      <c r="A244" s="411">
        <v>42430</v>
      </c>
      <c r="B244" s="176">
        <v>4941</v>
      </c>
      <c r="C244" s="176"/>
    </row>
    <row r="245" spans="1:3">
      <c r="A245" s="411">
        <v>42461</v>
      </c>
      <c r="B245" s="176">
        <v>4910</v>
      </c>
      <c r="C245" s="176"/>
    </row>
    <row r="246" spans="1:3">
      <c r="A246" s="411">
        <v>42491</v>
      </c>
      <c r="B246" s="176">
        <v>5040</v>
      </c>
      <c r="C246" s="176"/>
    </row>
    <row r="247" spans="1:3">
      <c r="A247" s="411">
        <v>42522</v>
      </c>
      <c r="B247" s="176">
        <v>5187</v>
      </c>
      <c r="C247" s="176"/>
    </row>
    <row r="248" spans="1:3">
      <c r="A248" s="411">
        <v>42552</v>
      </c>
      <c r="B248" s="176">
        <v>5231</v>
      </c>
      <c r="C248" s="176"/>
    </row>
    <row r="249" spans="1:3">
      <c r="A249" s="411">
        <v>42583</v>
      </c>
      <c r="B249" s="176">
        <v>5316</v>
      </c>
      <c r="C249" s="176"/>
    </row>
    <row r="250" spans="1:3">
      <c r="A250" s="411">
        <v>42614</v>
      </c>
      <c r="B250" s="176">
        <v>5262</v>
      </c>
      <c r="C250" s="176"/>
    </row>
    <row r="251" spans="1:3">
      <c r="A251" s="411">
        <v>42644</v>
      </c>
      <c r="B251" s="176">
        <v>5231</v>
      </c>
      <c r="C251" s="176"/>
    </row>
    <row r="252" spans="1:3">
      <c r="A252" s="411">
        <v>42675</v>
      </c>
      <c r="B252" s="176">
        <v>5072</v>
      </c>
      <c r="C252" s="176"/>
    </row>
    <row r="253" spans="1:3">
      <c r="A253" s="411">
        <v>42705</v>
      </c>
      <c r="B253" s="176">
        <v>5004</v>
      </c>
      <c r="C253" s="176"/>
    </row>
    <row r="254" spans="1:3">
      <c r="A254" s="411">
        <v>42736</v>
      </c>
      <c r="B254" s="176">
        <v>4863</v>
      </c>
      <c r="C254" s="176"/>
    </row>
    <row r="255" spans="1:3">
      <c r="A255" s="411">
        <v>42767</v>
      </c>
      <c r="B255" s="176">
        <v>4649</v>
      </c>
      <c r="C255" s="176"/>
    </row>
    <row r="256" spans="1:3">
      <c r="A256" s="411">
        <v>42795</v>
      </c>
      <c r="B256" s="176">
        <v>4562</v>
      </c>
      <c r="C256" s="176"/>
    </row>
    <row r="257" spans="1:3">
      <c r="A257" s="411">
        <v>42826</v>
      </c>
      <c r="B257" s="176">
        <v>4398</v>
      </c>
      <c r="C257" s="176"/>
    </row>
    <row r="258" spans="1:3">
      <c r="A258" s="411">
        <v>42856</v>
      </c>
      <c r="B258" s="176">
        <v>4446</v>
      </c>
      <c r="C258" s="176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27"/>
  <sheetViews>
    <sheetView workbookViewId="0">
      <selection activeCell="R100" sqref="R100:R104"/>
    </sheetView>
  </sheetViews>
  <sheetFormatPr defaultRowHeight="15"/>
  <cols>
    <col min="1" max="1" width="30.7109375" customWidth="1"/>
  </cols>
  <sheetData>
    <row r="1" spans="1:6" ht="28.9" customHeight="1">
      <c r="A1" s="720" t="s">
        <v>331</v>
      </c>
      <c r="B1" s="721"/>
      <c r="C1" s="721"/>
      <c r="D1" s="721"/>
      <c r="E1" s="721"/>
      <c r="F1" s="721"/>
    </row>
    <row r="3" spans="1:6" ht="33.75">
      <c r="A3" s="474" t="s">
        <v>332</v>
      </c>
      <c r="B3" s="474" t="s">
        <v>333</v>
      </c>
      <c r="C3" s="474" t="s">
        <v>334</v>
      </c>
      <c r="D3" s="474" t="s">
        <v>335</v>
      </c>
      <c r="E3" s="474" t="s">
        <v>336</v>
      </c>
      <c r="F3" s="474" t="s">
        <v>337</v>
      </c>
    </row>
    <row r="4" spans="1:6" ht="22.5">
      <c r="A4" s="475" t="s">
        <v>338</v>
      </c>
      <c r="B4" s="478">
        <v>128993</v>
      </c>
      <c r="C4" s="478">
        <v>23492</v>
      </c>
      <c r="D4" s="478">
        <v>27708</v>
      </c>
      <c r="E4" s="478">
        <v>49467</v>
      </c>
      <c r="F4" s="478">
        <v>28326</v>
      </c>
    </row>
    <row r="5" spans="1:6" hidden="1">
      <c r="A5" s="476" t="s">
        <v>339</v>
      </c>
      <c r="B5" s="552"/>
      <c r="C5" s="552"/>
      <c r="D5" s="552"/>
      <c r="E5" s="552"/>
      <c r="F5" s="552"/>
    </row>
    <row r="6" spans="1:6" hidden="1">
      <c r="A6" s="475" t="s">
        <v>340</v>
      </c>
      <c r="B6" s="552"/>
      <c r="C6" s="552"/>
      <c r="D6" s="552"/>
      <c r="E6" s="552"/>
      <c r="F6" s="552"/>
    </row>
    <row r="7" spans="1:6" hidden="1">
      <c r="A7" s="476" t="s">
        <v>339</v>
      </c>
      <c r="B7" s="552"/>
      <c r="C7" s="552"/>
      <c r="D7" s="552"/>
      <c r="E7" s="552"/>
      <c r="F7" s="552"/>
    </row>
    <row r="8" spans="1:6" hidden="1">
      <c r="A8" s="479" t="s">
        <v>341</v>
      </c>
      <c r="B8" s="480">
        <v>72156</v>
      </c>
      <c r="C8" s="480">
        <v>79079</v>
      </c>
      <c r="D8" s="480">
        <v>68594</v>
      </c>
      <c r="E8" s="480">
        <v>64783</v>
      </c>
      <c r="F8" s="480">
        <v>82775</v>
      </c>
    </row>
    <row r="9" spans="1:6" hidden="1">
      <c r="A9" s="479" t="s">
        <v>342</v>
      </c>
      <c r="B9" s="478">
        <v>62320</v>
      </c>
      <c r="C9" s="478">
        <v>67086</v>
      </c>
      <c r="D9" s="478">
        <v>60008</v>
      </c>
      <c r="E9" s="478">
        <v>56818</v>
      </c>
      <c r="F9" s="478">
        <v>70236</v>
      </c>
    </row>
    <row r="10" spans="1:6" hidden="1">
      <c r="A10" s="476" t="s">
        <v>339</v>
      </c>
      <c r="B10" s="552"/>
      <c r="C10" s="552"/>
      <c r="D10" s="552"/>
      <c r="E10" s="552"/>
      <c r="F10" s="552"/>
    </row>
    <row r="11" spans="1:6" hidden="1">
      <c r="A11" s="479" t="s">
        <v>343</v>
      </c>
      <c r="B11" s="481">
        <v>50.7</v>
      </c>
      <c r="C11" s="481">
        <v>52.1</v>
      </c>
      <c r="D11" s="481">
        <v>51</v>
      </c>
      <c r="E11" s="481">
        <v>50.7</v>
      </c>
      <c r="F11" s="481">
        <v>49.4</v>
      </c>
    </row>
    <row r="12" spans="1:6" hidden="1">
      <c r="A12" s="476" t="s">
        <v>339</v>
      </c>
      <c r="B12" s="552"/>
      <c r="C12" s="552"/>
      <c r="D12" s="552"/>
      <c r="E12" s="552"/>
      <c r="F12" s="552"/>
    </row>
    <row r="13" spans="1:6" hidden="1">
      <c r="A13" s="479" t="s">
        <v>344</v>
      </c>
      <c r="B13" s="552"/>
      <c r="C13" s="552"/>
      <c r="D13" s="552"/>
      <c r="E13" s="552"/>
      <c r="F13" s="552"/>
    </row>
    <row r="14" spans="1:6" hidden="1">
      <c r="A14" s="482" t="s">
        <v>345</v>
      </c>
      <c r="B14" s="481">
        <v>2.5</v>
      </c>
      <c r="C14" s="481">
        <v>2.4</v>
      </c>
      <c r="D14" s="481">
        <v>2.4</v>
      </c>
      <c r="E14" s="481">
        <v>2.4</v>
      </c>
      <c r="F14" s="481">
        <v>2.7</v>
      </c>
    </row>
    <row r="15" spans="1:6" hidden="1">
      <c r="A15" s="482" t="s">
        <v>346</v>
      </c>
      <c r="B15" s="481">
        <v>0.6</v>
      </c>
      <c r="C15" s="481">
        <v>0.5</v>
      </c>
      <c r="D15" s="481">
        <v>0.6</v>
      </c>
      <c r="E15" s="481">
        <v>0.6</v>
      </c>
      <c r="F15" s="481">
        <v>0.7</v>
      </c>
    </row>
    <row r="16" spans="1:6" hidden="1">
      <c r="A16" s="482" t="s">
        <v>347</v>
      </c>
      <c r="B16" s="481">
        <v>0.4</v>
      </c>
      <c r="C16" s="481">
        <v>0.4</v>
      </c>
      <c r="D16" s="481">
        <v>0.4</v>
      </c>
      <c r="E16" s="481">
        <v>0.4</v>
      </c>
      <c r="F16" s="481">
        <v>0.3</v>
      </c>
    </row>
    <row r="17" spans="1:6" hidden="1">
      <c r="A17" s="482" t="s">
        <v>348</v>
      </c>
      <c r="B17" s="481">
        <v>1.3</v>
      </c>
      <c r="C17" s="481">
        <v>1.3</v>
      </c>
      <c r="D17" s="481">
        <v>1.3</v>
      </c>
      <c r="E17" s="481">
        <v>1.2</v>
      </c>
      <c r="F17" s="481">
        <v>1.4</v>
      </c>
    </row>
    <row r="18" spans="1:6" hidden="1">
      <c r="A18" s="482" t="s">
        <v>349</v>
      </c>
      <c r="B18" s="481">
        <v>1.9</v>
      </c>
      <c r="C18" s="481">
        <v>1.6</v>
      </c>
      <c r="D18" s="481">
        <v>2</v>
      </c>
      <c r="E18" s="481">
        <v>1.9</v>
      </c>
      <c r="F18" s="481">
        <v>2</v>
      </c>
    </row>
    <row r="19" spans="1:6" hidden="1">
      <c r="A19" s="476" t="s">
        <v>339</v>
      </c>
      <c r="B19" s="552"/>
      <c r="C19" s="552"/>
      <c r="D19" s="552"/>
      <c r="E19" s="552"/>
      <c r="F19" s="552"/>
    </row>
    <row r="20" spans="1:6" hidden="1">
      <c r="A20" s="475" t="s">
        <v>350</v>
      </c>
      <c r="B20" s="552"/>
      <c r="C20" s="552"/>
      <c r="D20" s="552"/>
      <c r="E20" s="552"/>
      <c r="F20" s="552"/>
    </row>
    <row r="21" spans="1:6" hidden="1">
      <c r="A21" s="476" t="s">
        <v>339</v>
      </c>
      <c r="B21" s="552"/>
      <c r="C21" s="552"/>
      <c r="D21" s="552"/>
      <c r="E21" s="552"/>
      <c r="F21" s="552"/>
    </row>
    <row r="22" spans="1:6" hidden="1">
      <c r="A22" s="479" t="s">
        <v>351</v>
      </c>
      <c r="B22" s="552"/>
      <c r="C22" s="552"/>
      <c r="D22" s="552"/>
      <c r="E22" s="552"/>
      <c r="F22" s="552"/>
    </row>
    <row r="23" spans="1:6" hidden="1">
      <c r="A23" s="482" t="s">
        <v>352</v>
      </c>
      <c r="B23" s="483">
        <v>47</v>
      </c>
      <c r="C23" s="483">
        <v>48</v>
      </c>
      <c r="D23" s="483">
        <v>48</v>
      </c>
      <c r="E23" s="483">
        <v>46</v>
      </c>
      <c r="F23" s="483">
        <v>48</v>
      </c>
    </row>
    <row r="24" spans="1:6" hidden="1">
      <c r="A24" s="482" t="s">
        <v>353</v>
      </c>
      <c r="B24" s="483">
        <v>53</v>
      </c>
      <c r="C24" s="483">
        <v>52</v>
      </c>
      <c r="D24" s="483">
        <v>52</v>
      </c>
      <c r="E24" s="483">
        <v>54</v>
      </c>
      <c r="F24" s="483">
        <v>52</v>
      </c>
    </row>
    <row r="25" spans="1:6" hidden="1">
      <c r="A25" s="476" t="s">
        <v>339</v>
      </c>
      <c r="B25" s="552"/>
      <c r="C25" s="552"/>
      <c r="D25" s="552"/>
      <c r="E25" s="552"/>
      <c r="F25" s="552"/>
    </row>
    <row r="26" spans="1:6" hidden="1">
      <c r="A26" s="479" t="s">
        <v>354</v>
      </c>
      <c r="B26" s="552"/>
      <c r="C26" s="552"/>
      <c r="D26" s="552"/>
      <c r="E26" s="552"/>
      <c r="F26" s="552"/>
    </row>
    <row r="27" spans="1:6" hidden="1">
      <c r="A27" s="482" t="s">
        <v>355</v>
      </c>
      <c r="B27" s="483">
        <v>62</v>
      </c>
      <c r="C27" s="483">
        <v>60</v>
      </c>
      <c r="D27" s="483">
        <v>66</v>
      </c>
      <c r="E27" s="483">
        <v>65</v>
      </c>
      <c r="F27" s="483">
        <v>57</v>
      </c>
    </row>
    <row r="28" spans="1:6" hidden="1">
      <c r="A28" s="484" t="s">
        <v>356</v>
      </c>
      <c r="B28" s="483">
        <v>36</v>
      </c>
      <c r="C28" s="483">
        <v>32</v>
      </c>
      <c r="D28" s="483">
        <v>39</v>
      </c>
      <c r="E28" s="483">
        <v>35</v>
      </c>
      <c r="F28" s="483">
        <v>37</v>
      </c>
    </row>
    <row r="29" spans="1:6" hidden="1">
      <c r="A29" s="484" t="s">
        <v>357</v>
      </c>
      <c r="B29" s="483">
        <v>27</v>
      </c>
      <c r="C29" s="483">
        <v>28</v>
      </c>
      <c r="D29" s="483">
        <v>27</v>
      </c>
      <c r="E29" s="483">
        <v>30</v>
      </c>
      <c r="F29" s="483">
        <v>21</v>
      </c>
    </row>
    <row r="30" spans="1:6" hidden="1">
      <c r="A30" s="482" t="s">
        <v>358</v>
      </c>
      <c r="B30" s="483">
        <v>38</v>
      </c>
      <c r="C30" s="483">
        <v>40</v>
      </c>
      <c r="D30" s="483">
        <v>34</v>
      </c>
      <c r="E30" s="483">
        <v>35</v>
      </c>
      <c r="F30" s="483">
        <v>43</v>
      </c>
    </row>
    <row r="31" spans="1:6" hidden="1">
      <c r="A31" s="476" t="s">
        <v>339</v>
      </c>
      <c r="B31" s="552"/>
      <c r="C31" s="552"/>
      <c r="D31" s="552"/>
      <c r="E31" s="552"/>
      <c r="F31" s="552"/>
    </row>
    <row r="32" spans="1:6" hidden="1">
      <c r="A32" s="479" t="s">
        <v>359</v>
      </c>
      <c r="B32" s="552"/>
      <c r="C32" s="552"/>
      <c r="D32" s="552"/>
      <c r="E32" s="552"/>
      <c r="F32" s="552"/>
    </row>
    <row r="33" spans="1:6" hidden="1">
      <c r="A33" s="482" t="s">
        <v>360</v>
      </c>
      <c r="B33" s="483">
        <v>13</v>
      </c>
      <c r="C33" s="483">
        <v>13</v>
      </c>
      <c r="D33" s="483">
        <v>11</v>
      </c>
      <c r="E33" s="483">
        <v>19</v>
      </c>
      <c r="F33" s="483">
        <v>5</v>
      </c>
    </row>
    <row r="34" spans="1:6" hidden="1">
      <c r="A34" s="482" t="s">
        <v>361</v>
      </c>
      <c r="B34" s="483">
        <v>87</v>
      </c>
      <c r="C34" s="483">
        <v>87</v>
      </c>
      <c r="D34" s="483">
        <v>89</v>
      </c>
      <c r="E34" s="483">
        <v>81</v>
      </c>
      <c r="F34" s="483">
        <v>95</v>
      </c>
    </row>
    <row r="35" spans="1:6" hidden="1">
      <c r="A35" s="476" t="s">
        <v>339</v>
      </c>
      <c r="B35" s="552"/>
      <c r="C35" s="552"/>
      <c r="D35" s="552"/>
      <c r="E35" s="552"/>
      <c r="F35" s="552"/>
    </row>
    <row r="36" spans="1:6" ht="22.5" hidden="1">
      <c r="A36" s="479" t="s">
        <v>362</v>
      </c>
      <c r="B36" s="552"/>
      <c r="C36" s="552"/>
      <c r="D36" s="552"/>
      <c r="E36" s="552"/>
      <c r="F36" s="552"/>
    </row>
    <row r="37" spans="1:6" hidden="1">
      <c r="A37" s="482" t="s">
        <v>363</v>
      </c>
      <c r="B37" s="483">
        <v>13</v>
      </c>
      <c r="C37" s="483">
        <v>11</v>
      </c>
      <c r="D37" s="483">
        <v>6</v>
      </c>
      <c r="E37" s="483">
        <v>13</v>
      </c>
      <c r="F37" s="483">
        <v>23</v>
      </c>
    </row>
    <row r="38" spans="1:6" hidden="1">
      <c r="A38" s="482" t="s">
        <v>364</v>
      </c>
      <c r="B38" s="483">
        <v>87</v>
      </c>
      <c r="C38" s="483">
        <v>89</v>
      </c>
      <c r="D38" s="483">
        <v>94</v>
      </c>
      <c r="E38" s="483">
        <v>87</v>
      </c>
      <c r="F38" s="483">
        <v>77</v>
      </c>
    </row>
    <row r="39" spans="1:6" hidden="1">
      <c r="A39" s="476" t="s">
        <v>339</v>
      </c>
      <c r="B39" s="552"/>
      <c r="C39" s="552"/>
      <c r="D39" s="552"/>
      <c r="E39" s="552"/>
      <c r="F39" s="552"/>
    </row>
    <row r="40" spans="1:6" hidden="1">
      <c r="A40" s="479" t="s">
        <v>365</v>
      </c>
      <c r="B40" s="552"/>
      <c r="C40" s="552"/>
      <c r="D40" s="552"/>
      <c r="E40" s="552"/>
      <c r="F40" s="552"/>
    </row>
    <row r="41" spans="1:6" hidden="1">
      <c r="A41" s="482" t="s">
        <v>366</v>
      </c>
      <c r="B41" s="483">
        <v>3</v>
      </c>
      <c r="C41" s="483">
        <v>3</v>
      </c>
      <c r="D41" s="483">
        <v>3</v>
      </c>
      <c r="E41" s="483">
        <v>3</v>
      </c>
      <c r="F41" s="483">
        <v>4</v>
      </c>
    </row>
    <row r="42" spans="1:6" hidden="1">
      <c r="A42" s="482" t="s">
        <v>367</v>
      </c>
      <c r="B42" s="483">
        <v>32</v>
      </c>
      <c r="C42" s="483">
        <v>33</v>
      </c>
      <c r="D42" s="483">
        <v>33</v>
      </c>
      <c r="E42" s="483">
        <v>34</v>
      </c>
      <c r="F42" s="483">
        <v>25</v>
      </c>
    </row>
    <row r="43" spans="1:6" hidden="1">
      <c r="A43" s="482" t="s">
        <v>368</v>
      </c>
      <c r="B43" s="483">
        <v>65</v>
      </c>
      <c r="C43" s="483">
        <v>64</v>
      </c>
      <c r="D43" s="483">
        <v>64</v>
      </c>
      <c r="E43" s="483">
        <v>62</v>
      </c>
      <c r="F43" s="483">
        <v>71</v>
      </c>
    </row>
    <row r="44" spans="1:6" hidden="1">
      <c r="A44" s="482" t="s">
        <v>369</v>
      </c>
      <c r="B44" s="477" t="s">
        <v>370</v>
      </c>
      <c r="C44" s="477" t="s">
        <v>370</v>
      </c>
      <c r="D44" s="477" t="s">
        <v>370</v>
      </c>
      <c r="E44" s="477" t="s">
        <v>370</v>
      </c>
      <c r="F44" s="477" t="s">
        <v>370</v>
      </c>
    </row>
    <row r="45" spans="1:6" hidden="1">
      <c r="A45" s="476" t="s">
        <v>339</v>
      </c>
      <c r="B45" s="552"/>
      <c r="C45" s="552"/>
      <c r="D45" s="552"/>
      <c r="E45" s="552"/>
      <c r="F45" s="552"/>
    </row>
    <row r="46" spans="1:6" hidden="1">
      <c r="A46" s="479" t="s">
        <v>371</v>
      </c>
      <c r="B46" s="483">
        <v>87</v>
      </c>
      <c r="C46" s="483">
        <v>79</v>
      </c>
      <c r="D46" s="483">
        <v>90</v>
      </c>
      <c r="E46" s="483">
        <v>88</v>
      </c>
      <c r="F46" s="483">
        <v>90</v>
      </c>
    </row>
    <row r="47" spans="1:6" hidden="1">
      <c r="A47" s="476" t="s">
        <v>339</v>
      </c>
      <c r="B47" s="552"/>
      <c r="C47" s="552"/>
      <c r="D47" s="552"/>
      <c r="E47" s="552"/>
      <c r="F47" s="552"/>
    </row>
    <row r="48" spans="1:6" hidden="1">
      <c r="A48" s="475" t="s">
        <v>372</v>
      </c>
      <c r="B48" s="480">
        <v>56648</v>
      </c>
      <c r="C48" s="480">
        <v>59876</v>
      </c>
      <c r="D48" s="480">
        <v>54989</v>
      </c>
      <c r="E48" s="480">
        <v>52350</v>
      </c>
      <c r="F48" s="480">
        <v>63045</v>
      </c>
    </row>
    <row r="49" spans="1:6" hidden="1">
      <c r="A49" s="476" t="s">
        <v>339</v>
      </c>
      <c r="B49" s="552"/>
      <c r="C49" s="552"/>
      <c r="D49" s="552"/>
      <c r="E49" s="552"/>
      <c r="F49" s="552"/>
    </row>
    <row r="50" spans="1:6" hidden="1">
      <c r="A50" s="479" t="s">
        <v>373</v>
      </c>
      <c r="B50" s="478">
        <v>7113</v>
      </c>
      <c r="C50" s="478">
        <v>7018</v>
      </c>
      <c r="D50" s="478">
        <v>7076</v>
      </c>
      <c r="E50" s="478">
        <v>6671</v>
      </c>
      <c r="F50" s="478">
        <v>7978</v>
      </c>
    </row>
    <row r="51" spans="1:6" hidden="1">
      <c r="A51" s="482" t="s">
        <v>374</v>
      </c>
      <c r="B51" s="478">
        <v>4032</v>
      </c>
      <c r="C51" s="478">
        <v>4031</v>
      </c>
      <c r="D51" s="478">
        <v>4052</v>
      </c>
      <c r="E51" s="478">
        <v>3776</v>
      </c>
      <c r="F51" s="478">
        <v>4447</v>
      </c>
    </row>
    <row r="52" spans="1:6" hidden="1">
      <c r="A52" s="484" t="s">
        <v>375</v>
      </c>
      <c r="B52" s="483">
        <v>521</v>
      </c>
      <c r="C52" s="483">
        <v>550</v>
      </c>
      <c r="D52" s="483">
        <v>529</v>
      </c>
      <c r="E52" s="483">
        <v>483</v>
      </c>
      <c r="F52" s="483">
        <v>556</v>
      </c>
    </row>
    <row r="53" spans="1:6" hidden="1">
      <c r="A53" s="485" t="s">
        <v>376</v>
      </c>
      <c r="B53" s="483">
        <v>172</v>
      </c>
      <c r="C53" s="483">
        <v>191</v>
      </c>
      <c r="D53" s="483">
        <v>170</v>
      </c>
      <c r="E53" s="483">
        <v>155</v>
      </c>
      <c r="F53" s="483">
        <v>188</v>
      </c>
    </row>
    <row r="54" spans="1:6" hidden="1">
      <c r="A54" s="485" t="s">
        <v>377</v>
      </c>
      <c r="B54" s="483">
        <v>349</v>
      </c>
      <c r="C54" s="483">
        <v>359</v>
      </c>
      <c r="D54" s="483">
        <v>359</v>
      </c>
      <c r="E54" s="483">
        <v>328</v>
      </c>
      <c r="F54" s="483">
        <v>368</v>
      </c>
    </row>
    <row r="55" spans="1:6" hidden="1">
      <c r="A55" s="484" t="s">
        <v>378</v>
      </c>
      <c r="B55" s="483">
        <v>893</v>
      </c>
      <c r="C55" s="483">
        <v>902</v>
      </c>
      <c r="D55" s="483">
        <v>883</v>
      </c>
      <c r="E55" s="483">
        <v>866</v>
      </c>
      <c r="F55" s="483">
        <v>940</v>
      </c>
    </row>
    <row r="56" spans="1:6" hidden="1">
      <c r="A56" s="485" t="s">
        <v>379</v>
      </c>
      <c r="B56" s="483">
        <v>244</v>
      </c>
      <c r="C56" s="483">
        <v>220</v>
      </c>
      <c r="D56" s="483">
        <v>274</v>
      </c>
      <c r="E56" s="483">
        <v>237</v>
      </c>
      <c r="F56" s="483">
        <v>249</v>
      </c>
    </row>
    <row r="57" spans="1:6" hidden="1">
      <c r="A57" s="485" t="s">
        <v>380</v>
      </c>
      <c r="B57" s="483">
        <v>167</v>
      </c>
      <c r="C57" s="483">
        <v>164</v>
      </c>
      <c r="D57" s="483">
        <v>167</v>
      </c>
      <c r="E57" s="483">
        <v>171</v>
      </c>
      <c r="F57" s="483">
        <v>163</v>
      </c>
    </row>
    <row r="58" spans="1:6" hidden="1">
      <c r="A58" s="485" t="s">
        <v>381</v>
      </c>
      <c r="B58" s="483">
        <v>122</v>
      </c>
      <c r="C58" s="483">
        <v>141</v>
      </c>
      <c r="D58" s="483">
        <v>130</v>
      </c>
      <c r="E58" s="483">
        <v>109</v>
      </c>
      <c r="F58" s="483">
        <v>121</v>
      </c>
    </row>
    <row r="59" spans="1:6" hidden="1">
      <c r="A59" s="485" t="s">
        <v>382</v>
      </c>
      <c r="B59" s="483">
        <v>172</v>
      </c>
      <c r="C59" s="483">
        <v>184</v>
      </c>
      <c r="D59" s="483">
        <v>153</v>
      </c>
      <c r="E59" s="483">
        <v>170</v>
      </c>
      <c r="F59" s="483">
        <v>183</v>
      </c>
    </row>
    <row r="60" spans="1:6" hidden="1">
      <c r="A60" s="485" t="s">
        <v>383</v>
      </c>
      <c r="B60" s="483">
        <v>128</v>
      </c>
      <c r="C60" s="483">
        <v>137</v>
      </c>
      <c r="D60" s="483">
        <v>106</v>
      </c>
      <c r="E60" s="483">
        <v>120</v>
      </c>
      <c r="F60" s="483">
        <v>154</v>
      </c>
    </row>
    <row r="61" spans="1:6" hidden="1">
      <c r="A61" s="485" t="s">
        <v>384</v>
      </c>
      <c r="B61" s="483">
        <v>60</v>
      </c>
      <c r="C61" s="483">
        <v>57</v>
      </c>
      <c r="D61" s="483">
        <v>52</v>
      </c>
      <c r="E61" s="483">
        <v>59</v>
      </c>
      <c r="F61" s="483">
        <v>70</v>
      </c>
    </row>
    <row r="62" spans="1:6" hidden="1">
      <c r="A62" s="484" t="s">
        <v>385</v>
      </c>
      <c r="B62" s="483">
        <v>411</v>
      </c>
      <c r="C62" s="483">
        <v>433</v>
      </c>
      <c r="D62" s="483">
        <v>429</v>
      </c>
      <c r="E62" s="483">
        <v>363</v>
      </c>
      <c r="F62" s="483">
        <v>458</v>
      </c>
    </row>
    <row r="63" spans="1:6" hidden="1">
      <c r="A63" s="485" t="s">
        <v>386</v>
      </c>
      <c r="B63" s="483">
        <v>139</v>
      </c>
      <c r="C63" s="483">
        <v>144</v>
      </c>
      <c r="D63" s="483">
        <v>139</v>
      </c>
      <c r="E63" s="483">
        <v>130</v>
      </c>
      <c r="F63" s="483">
        <v>152</v>
      </c>
    </row>
    <row r="64" spans="1:6" hidden="1">
      <c r="A64" s="485" t="s">
        <v>387</v>
      </c>
      <c r="B64" s="483">
        <v>272</v>
      </c>
      <c r="C64" s="483">
        <v>289</v>
      </c>
      <c r="D64" s="483">
        <v>290</v>
      </c>
      <c r="E64" s="483">
        <v>234</v>
      </c>
      <c r="F64" s="483">
        <v>306</v>
      </c>
    </row>
    <row r="65" spans="1:6" hidden="1">
      <c r="A65" s="484" t="s">
        <v>388</v>
      </c>
      <c r="B65" s="483">
        <v>776</v>
      </c>
      <c r="C65" s="483">
        <v>826</v>
      </c>
      <c r="D65" s="483">
        <v>747</v>
      </c>
      <c r="E65" s="483">
        <v>700</v>
      </c>
      <c r="F65" s="483">
        <v>890</v>
      </c>
    </row>
    <row r="66" spans="1:6" hidden="1">
      <c r="A66" s="485" t="s">
        <v>389</v>
      </c>
      <c r="B66" s="483">
        <v>286</v>
      </c>
      <c r="C66" s="483">
        <v>306</v>
      </c>
      <c r="D66" s="483">
        <v>281</v>
      </c>
      <c r="E66" s="483">
        <v>247</v>
      </c>
      <c r="F66" s="483">
        <v>340</v>
      </c>
    </row>
    <row r="67" spans="1:6" hidden="1">
      <c r="A67" s="485" t="s">
        <v>390</v>
      </c>
      <c r="B67" s="483">
        <v>250</v>
      </c>
      <c r="C67" s="483">
        <v>275</v>
      </c>
      <c r="D67" s="483">
        <v>233</v>
      </c>
      <c r="E67" s="483">
        <v>217</v>
      </c>
      <c r="F67" s="483">
        <v>304</v>
      </c>
    </row>
    <row r="68" spans="1:6" hidden="1">
      <c r="A68" s="485" t="s">
        <v>391</v>
      </c>
      <c r="B68" s="483">
        <v>108</v>
      </c>
      <c r="C68" s="483">
        <v>118</v>
      </c>
      <c r="D68" s="483">
        <v>100</v>
      </c>
      <c r="E68" s="483">
        <v>101</v>
      </c>
      <c r="F68" s="483">
        <v>120</v>
      </c>
    </row>
    <row r="69" spans="1:6" hidden="1">
      <c r="A69" s="485" t="s">
        <v>392</v>
      </c>
      <c r="B69" s="483">
        <v>131</v>
      </c>
      <c r="C69" s="483">
        <v>127</v>
      </c>
      <c r="D69" s="483">
        <v>133</v>
      </c>
      <c r="E69" s="483">
        <v>136</v>
      </c>
      <c r="F69" s="483">
        <v>126</v>
      </c>
    </row>
    <row r="70" spans="1:6" hidden="1">
      <c r="A70" s="484" t="s">
        <v>393</v>
      </c>
      <c r="B70" s="478">
        <v>1431</v>
      </c>
      <c r="C70" s="478">
        <v>1320</v>
      </c>
      <c r="D70" s="478">
        <v>1465</v>
      </c>
      <c r="E70" s="478">
        <v>1363</v>
      </c>
      <c r="F70" s="478">
        <v>1603</v>
      </c>
    </row>
    <row r="71" spans="1:6" hidden="1">
      <c r="A71" s="485" t="s">
        <v>394</v>
      </c>
      <c r="B71" s="483">
        <v>152</v>
      </c>
      <c r="C71" s="483">
        <v>130</v>
      </c>
      <c r="D71" s="483">
        <v>162</v>
      </c>
      <c r="E71" s="483">
        <v>138</v>
      </c>
      <c r="F71" s="483">
        <v>181</v>
      </c>
    </row>
    <row r="72" spans="1:6" hidden="1">
      <c r="A72" s="485" t="s">
        <v>395</v>
      </c>
      <c r="B72" s="483">
        <v>111</v>
      </c>
      <c r="C72" s="483">
        <v>118</v>
      </c>
      <c r="D72" s="483">
        <v>106</v>
      </c>
      <c r="E72" s="483">
        <v>108</v>
      </c>
      <c r="F72" s="483">
        <v>117</v>
      </c>
    </row>
    <row r="73" spans="1:6" hidden="1">
      <c r="A73" s="485" t="s">
        <v>396</v>
      </c>
      <c r="B73" s="483">
        <v>730</v>
      </c>
      <c r="C73" s="483">
        <v>646</v>
      </c>
      <c r="D73" s="483">
        <v>778</v>
      </c>
      <c r="E73" s="483">
        <v>681</v>
      </c>
      <c r="F73" s="483">
        <v>836</v>
      </c>
    </row>
    <row r="74" spans="1:6" hidden="1">
      <c r="A74" s="485" t="s">
        <v>397</v>
      </c>
      <c r="B74" s="483">
        <v>384</v>
      </c>
      <c r="C74" s="483">
        <v>369</v>
      </c>
      <c r="D74" s="483">
        <v>372</v>
      </c>
      <c r="E74" s="483">
        <v>394</v>
      </c>
      <c r="F74" s="483">
        <v>389</v>
      </c>
    </row>
    <row r="75" spans="1:6" ht="22.5" hidden="1">
      <c r="A75" s="485" t="s">
        <v>398</v>
      </c>
      <c r="B75" s="483">
        <v>54</v>
      </c>
      <c r="C75" s="483">
        <v>56</v>
      </c>
      <c r="D75" s="483">
        <v>47</v>
      </c>
      <c r="E75" s="483">
        <v>41</v>
      </c>
      <c r="F75" s="483">
        <v>80</v>
      </c>
    </row>
    <row r="76" spans="1:6" hidden="1">
      <c r="A76" s="482" t="s">
        <v>399</v>
      </c>
      <c r="B76" s="478">
        <v>3081</v>
      </c>
      <c r="C76" s="478">
        <v>2986</v>
      </c>
      <c r="D76" s="478">
        <v>3024</v>
      </c>
      <c r="E76" s="478">
        <v>2894</v>
      </c>
      <c r="F76" s="478">
        <v>3531</v>
      </c>
    </row>
    <row r="77" spans="1:6" hidden="1">
      <c r="A77" s="476" t="s">
        <v>339</v>
      </c>
      <c r="B77" s="552"/>
      <c r="C77" s="552"/>
      <c r="D77" s="552"/>
      <c r="E77" s="552"/>
      <c r="F77" s="552"/>
    </row>
    <row r="78" spans="1:6" hidden="1">
      <c r="A78" s="479" t="s">
        <v>400</v>
      </c>
      <c r="B78" s="483">
        <v>499</v>
      </c>
      <c r="C78" s="483">
        <v>564</v>
      </c>
      <c r="D78" s="483">
        <v>507</v>
      </c>
      <c r="E78" s="483">
        <v>404</v>
      </c>
      <c r="F78" s="483">
        <v>602</v>
      </c>
    </row>
    <row r="79" spans="1:6" hidden="1">
      <c r="A79" s="476" t="s">
        <v>339</v>
      </c>
      <c r="B79" s="552"/>
      <c r="C79" s="552"/>
      <c r="D79" s="552"/>
      <c r="E79" s="552"/>
      <c r="F79" s="552"/>
    </row>
    <row r="80" spans="1:6" hidden="1">
      <c r="A80" s="479" t="s">
        <v>401</v>
      </c>
      <c r="B80" s="478">
        <v>18648</v>
      </c>
      <c r="C80" s="478">
        <v>21140</v>
      </c>
      <c r="D80" s="478">
        <v>17188</v>
      </c>
      <c r="E80" s="478">
        <v>16741</v>
      </c>
      <c r="F80" s="478">
        <v>21334</v>
      </c>
    </row>
    <row r="81" spans="1:13" hidden="1">
      <c r="A81" s="482" t="s">
        <v>402</v>
      </c>
      <c r="B81" s="478">
        <v>10936</v>
      </c>
      <c r="C81" s="478">
        <v>13165</v>
      </c>
      <c r="D81" s="478">
        <v>9724</v>
      </c>
      <c r="E81" s="478">
        <v>9191</v>
      </c>
      <c r="F81" s="478">
        <v>13321</v>
      </c>
    </row>
    <row r="82" spans="1:13" hidden="1">
      <c r="A82" s="484" t="s">
        <v>403</v>
      </c>
      <c r="B82" s="478">
        <v>6253</v>
      </c>
      <c r="C82" s="478">
        <v>7722</v>
      </c>
      <c r="D82" s="478">
        <v>6028</v>
      </c>
      <c r="E82" s="478">
        <v>5314</v>
      </c>
      <c r="F82" s="478">
        <v>6893</v>
      </c>
    </row>
    <row r="83" spans="1:13" hidden="1">
      <c r="A83" s="485" t="s">
        <v>404</v>
      </c>
      <c r="B83" s="478">
        <v>2874</v>
      </c>
      <c r="C83" s="478">
        <v>2784</v>
      </c>
      <c r="D83" s="478">
        <v>2624</v>
      </c>
      <c r="E83" s="478">
        <v>2581</v>
      </c>
      <c r="F83" s="478">
        <v>3706</v>
      </c>
    </row>
    <row r="84" spans="1:13" hidden="1">
      <c r="A84" s="485" t="s">
        <v>405</v>
      </c>
      <c r="B84" s="478">
        <v>1942</v>
      </c>
      <c r="C84" s="478">
        <v>3346</v>
      </c>
      <c r="D84" s="478">
        <v>1994</v>
      </c>
      <c r="E84" s="478">
        <v>1325</v>
      </c>
      <c r="F84" s="478">
        <v>1802</v>
      </c>
    </row>
    <row r="85" spans="1:13" ht="22.5" hidden="1">
      <c r="A85" s="485" t="s">
        <v>406</v>
      </c>
      <c r="B85" s="478">
        <v>1437</v>
      </c>
      <c r="C85" s="478">
        <v>1592</v>
      </c>
      <c r="D85" s="478">
        <v>1411</v>
      </c>
      <c r="E85" s="478">
        <v>1408</v>
      </c>
      <c r="F85" s="478">
        <v>1386</v>
      </c>
    </row>
    <row r="86" spans="1:13" hidden="1">
      <c r="A86" s="484" t="s">
        <v>407</v>
      </c>
      <c r="B86" s="478">
        <v>3919</v>
      </c>
      <c r="C86" s="478">
        <v>4502</v>
      </c>
      <c r="D86" s="478">
        <v>3010</v>
      </c>
      <c r="E86" s="478">
        <v>3176</v>
      </c>
      <c r="F86" s="478">
        <v>5622</v>
      </c>
    </row>
    <row r="87" spans="1:13" hidden="1">
      <c r="A87" s="484" t="s">
        <v>408</v>
      </c>
      <c r="B87" s="483">
        <v>764</v>
      </c>
      <c r="C87" s="483">
        <v>941</v>
      </c>
      <c r="D87" s="483">
        <v>686</v>
      </c>
      <c r="E87" s="483">
        <v>701</v>
      </c>
      <c r="F87" s="483">
        <v>805</v>
      </c>
    </row>
    <row r="88" spans="1:13" ht="13.15" customHeight="1">
      <c r="A88" s="482" t="s">
        <v>409</v>
      </c>
      <c r="B88" s="478">
        <v>3885</v>
      </c>
      <c r="C88" s="478">
        <v>4102</v>
      </c>
      <c r="D88" s="478">
        <v>3778</v>
      </c>
      <c r="E88" s="478">
        <v>3938</v>
      </c>
      <c r="F88" s="478">
        <v>3714</v>
      </c>
    </row>
    <row r="89" spans="1:13" ht="13.15" customHeight="1">
      <c r="A89" s="484" t="s">
        <v>410</v>
      </c>
      <c r="B89" s="483">
        <v>388</v>
      </c>
      <c r="C89" s="483">
        <v>607</v>
      </c>
      <c r="D89" s="483">
        <v>556</v>
      </c>
      <c r="E89" s="483">
        <v>224</v>
      </c>
      <c r="F89" s="483">
        <v>326</v>
      </c>
      <c r="H89" s="486">
        <f>D95+D90</f>
        <v>1805</v>
      </c>
      <c r="I89">
        <f>H89/12</f>
        <v>150.41666666666666</v>
      </c>
    </row>
    <row r="90" spans="1:13" ht="13.15" customHeight="1">
      <c r="A90" s="484" t="s">
        <v>411</v>
      </c>
      <c r="B90" s="478">
        <v>1452</v>
      </c>
      <c r="C90" s="478">
        <v>1339</v>
      </c>
      <c r="D90" s="478">
        <v>1294</v>
      </c>
      <c r="E90" s="478">
        <v>1727</v>
      </c>
      <c r="F90" s="478">
        <v>1219</v>
      </c>
    </row>
    <row r="91" spans="1:13" ht="13.15" customHeight="1">
      <c r="A91" s="484" t="s">
        <v>412</v>
      </c>
      <c r="B91" s="483">
        <v>101</v>
      </c>
      <c r="C91" s="483">
        <v>303</v>
      </c>
      <c r="D91" s="483">
        <v>87</v>
      </c>
      <c r="E91" s="483">
        <v>48</v>
      </c>
      <c r="F91" s="483">
        <v>39</v>
      </c>
    </row>
    <row r="92" spans="1:13" ht="13.15" customHeight="1">
      <c r="A92" s="484" t="s">
        <v>413</v>
      </c>
      <c r="B92" s="478">
        <v>1389</v>
      </c>
      <c r="C92" s="478">
        <v>1457</v>
      </c>
      <c r="D92" s="478">
        <v>1330</v>
      </c>
      <c r="E92" s="478">
        <v>1380</v>
      </c>
      <c r="F92" s="478">
        <v>1407</v>
      </c>
    </row>
    <row r="93" spans="1:13" ht="21.6" customHeight="1">
      <c r="A93" s="485" t="s">
        <v>414</v>
      </c>
      <c r="B93" s="483">
        <v>316</v>
      </c>
      <c r="C93" s="483">
        <v>442</v>
      </c>
      <c r="D93" s="483">
        <v>300</v>
      </c>
      <c r="E93" s="483">
        <v>299</v>
      </c>
      <c r="F93" s="483">
        <v>256</v>
      </c>
    </row>
    <row r="94" spans="1:13" ht="13.15" customHeight="1">
      <c r="A94" s="485" t="s">
        <v>415</v>
      </c>
      <c r="B94" s="478">
        <v>1073</v>
      </c>
      <c r="C94" s="478">
        <v>1015</v>
      </c>
      <c r="D94" s="478">
        <v>1031</v>
      </c>
      <c r="E94" s="478">
        <v>1081</v>
      </c>
      <c r="F94" s="478">
        <v>1150</v>
      </c>
      <c r="L94" t="s">
        <v>416</v>
      </c>
    </row>
    <row r="95" spans="1:13" ht="13.15" customHeight="1">
      <c r="A95" s="484" t="s">
        <v>417</v>
      </c>
      <c r="B95" s="483">
        <v>555</v>
      </c>
      <c r="C95" s="483">
        <v>395</v>
      </c>
      <c r="D95" s="483">
        <v>511</v>
      </c>
      <c r="E95" s="483">
        <v>558</v>
      </c>
      <c r="F95" s="483">
        <v>725</v>
      </c>
    </row>
    <row r="96" spans="1:13">
      <c r="A96" s="482" t="s">
        <v>418</v>
      </c>
      <c r="B96" s="478">
        <v>1346</v>
      </c>
      <c r="C96" s="478">
        <v>1569</v>
      </c>
      <c r="D96" s="478">
        <v>1149</v>
      </c>
      <c r="E96" s="478">
        <v>1250</v>
      </c>
      <c r="F96" s="478">
        <v>1523</v>
      </c>
      <c r="L96" t="s">
        <v>419</v>
      </c>
      <c r="M96">
        <v>642</v>
      </c>
    </row>
    <row r="97" spans="1:18">
      <c r="A97" s="484" t="s">
        <v>420</v>
      </c>
      <c r="B97" s="483">
        <v>442</v>
      </c>
      <c r="C97" s="483">
        <v>648</v>
      </c>
      <c r="D97" s="483">
        <v>373</v>
      </c>
      <c r="E97" s="483">
        <v>382</v>
      </c>
      <c r="F97" s="483">
        <v>442</v>
      </c>
      <c r="L97" t="s">
        <v>421</v>
      </c>
      <c r="M97">
        <v>575</v>
      </c>
    </row>
    <row r="98" spans="1:18">
      <c r="A98" s="484" t="s">
        <v>422</v>
      </c>
      <c r="B98" s="483">
        <v>905</v>
      </c>
      <c r="C98" s="483">
        <v>921</v>
      </c>
      <c r="D98" s="483">
        <v>776</v>
      </c>
      <c r="E98" s="483">
        <v>868</v>
      </c>
      <c r="F98" s="478">
        <v>1081</v>
      </c>
      <c r="M98">
        <f>SUM(M96:M97)</f>
        <v>1217</v>
      </c>
    </row>
    <row r="99" spans="1:18">
      <c r="A99" s="482" t="s">
        <v>423</v>
      </c>
      <c r="B99" s="483">
        <v>658</v>
      </c>
      <c r="C99" s="483">
        <v>612</v>
      </c>
      <c r="D99" s="483">
        <v>697</v>
      </c>
      <c r="E99" s="483">
        <v>654</v>
      </c>
      <c r="F99" s="483">
        <v>663</v>
      </c>
    </row>
    <row r="100" spans="1:18">
      <c r="A100" s="484" t="s">
        <v>424</v>
      </c>
      <c r="B100" s="483">
        <v>158</v>
      </c>
      <c r="C100" s="483">
        <v>136</v>
      </c>
      <c r="D100" s="483">
        <v>171</v>
      </c>
      <c r="E100" s="483">
        <v>160</v>
      </c>
      <c r="F100" s="483">
        <v>159</v>
      </c>
      <c r="L100" t="s">
        <v>425</v>
      </c>
      <c r="M100">
        <v>50448</v>
      </c>
      <c r="N100">
        <v>12099</v>
      </c>
    </row>
    <row r="101" spans="1:18">
      <c r="A101" s="484" t="s">
        <v>426</v>
      </c>
      <c r="B101" s="483">
        <v>365</v>
      </c>
      <c r="C101" s="483">
        <v>342</v>
      </c>
      <c r="D101" s="483">
        <v>391</v>
      </c>
      <c r="E101" s="483">
        <v>366</v>
      </c>
      <c r="F101" s="483">
        <v>360</v>
      </c>
      <c r="N101" s="473">
        <f>N100/M100</f>
        <v>0.23983111322549952</v>
      </c>
      <c r="R101" s="177"/>
    </row>
    <row r="102" spans="1:18">
      <c r="A102" s="484" t="s">
        <v>427</v>
      </c>
      <c r="B102" s="483">
        <v>134</v>
      </c>
      <c r="C102" s="483">
        <v>134</v>
      </c>
      <c r="D102" s="483">
        <v>135</v>
      </c>
      <c r="E102" s="483">
        <v>128</v>
      </c>
      <c r="F102" s="483">
        <v>144</v>
      </c>
      <c r="R102" s="177"/>
    </row>
    <row r="103" spans="1:18">
      <c r="A103" s="482" t="s">
        <v>428</v>
      </c>
      <c r="B103" s="478">
        <v>1824</v>
      </c>
      <c r="C103" s="478">
        <v>1691</v>
      </c>
      <c r="D103" s="478">
        <v>1840</v>
      </c>
      <c r="E103" s="478">
        <v>1709</v>
      </c>
      <c r="F103" s="478">
        <v>2113</v>
      </c>
      <c r="R103" s="177"/>
    </row>
    <row r="104" spans="1:18">
      <c r="A104" s="484" t="s">
        <v>429</v>
      </c>
      <c r="B104" s="483">
        <v>107</v>
      </c>
      <c r="C104" s="483">
        <v>105</v>
      </c>
      <c r="D104" s="483">
        <v>107</v>
      </c>
      <c r="E104" s="483">
        <v>94</v>
      </c>
      <c r="F104" s="483">
        <v>128</v>
      </c>
    </row>
    <row r="105" spans="1:18">
      <c r="A105" s="484" t="s">
        <v>430</v>
      </c>
      <c r="B105" s="483">
        <v>481</v>
      </c>
      <c r="C105" s="483">
        <v>452</v>
      </c>
      <c r="D105" s="483">
        <v>500</v>
      </c>
      <c r="E105" s="483">
        <v>460</v>
      </c>
      <c r="F105" s="483">
        <v>524</v>
      </c>
    </row>
    <row r="106" spans="1:18">
      <c r="A106" s="484" t="s">
        <v>431</v>
      </c>
      <c r="B106" s="483">
        <v>19</v>
      </c>
      <c r="C106" s="483">
        <v>31</v>
      </c>
      <c r="D106" s="483">
        <v>21</v>
      </c>
      <c r="E106" s="483">
        <v>12</v>
      </c>
      <c r="F106" s="483">
        <v>19</v>
      </c>
    </row>
    <row r="107" spans="1:18">
      <c r="A107" s="484" t="s">
        <v>432</v>
      </c>
      <c r="B107" s="483">
        <v>276</v>
      </c>
      <c r="C107" s="483">
        <v>245</v>
      </c>
      <c r="D107" s="483">
        <v>297</v>
      </c>
      <c r="E107" s="483">
        <v>286</v>
      </c>
      <c r="F107" s="483">
        <v>262</v>
      </c>
    </row>
    <row r="108" spans="1:18" ht="22.5">
      <c r="A108" s="484" t="s">
        <v>433</v>
      </c>
      <c r="B108" s="483">
        <v>120</v>
      </c>
      <c r="C108" s="483">
        <v>122</v>
      </c>
      <c r="D108" s="483">
        <v>127</v>
      </c>
      <c r="E108" s="483">
        <v>101</v>
      </c>
      <c r="F108" s="483">
        <v>146</v>
      </c>
    </row>
    <row r="109" spans="1:18">
      <c r="A109" s="484" t="s">
        <v>434</v>
      </c>
      <c r="B109" s="483">
        <v>821</v>
      </c>
      <c r="C109" s="483">
        <v>737</v>
      </c>
      <c r="D109" s="483">
        <v>789</v>
      </c>
      <c r="E109" s="483">
        <v>755</v>
      </c>
      <c r="F109" s="478">
        <v>1034</v>
      </c>
    </row>
    <row r="110" spans="1:18">
      <c r="A110" s="476" t="s">
        <v>339</v>
      </c>
      <c r="B110" s="552"/>
      <c r="C110" s="552"/>
      <c r="D110" s="552"/>
      <c r="E110" s="552"/>
      <c r="F110" s="552"/>
    </row>
    <row r="111" spans="1:18">
      <c r="A111" s="479" t="s">
        <v>435</v>
      </c>
      <c r="B111" s="478">
        <v>1824</v>
      </c>
      <c r="C111" s="478">
        <v>1870</v>
      </c>
      <c r="D111" s="478">
        <v>1680</v>
      </c>
      <c r="E111" s="478">
        <v>1684</v>
      </c>
      <c r="F111" s="478">
        <v>2161</v>
      </c>
    </row>
    <row r="112" spans="1:18">
      <c r="A112" s="482" t="s">
        <v>436</v>
      </c>
      <c r="B112" s="483">
        <v>424</v>
      </c>
      <c r="C112" s="483">
        <v>453</v>
      </c>
      <c r="D112" s="483">
        <v>428</v>
      </c>
      <c r="E112" s="483">
        <v>383</v>
      </c>
      <c r="F112" s="483">
        <v>468</v>
      </c>
    </row>
    <row r="113" spans="1:6">
      <c r="A113" s="484" t="s">
        <v>437</v>
      </c>
      <c r="B113" s="483">
        <v>327</v>
      </c>
      <c r="C113" s="483">
        <v>360</v>
      </c>
      <c r="D113" s="483">
        <v>321</v>
      </c>
      <c r="E113" s="483">
        <v>287</v>
      </c>
      <c r="F113" s="483">
        <v>373</v>
      </c>
    </row>
    <row r="114" spans="1:6">
      <c r="A114" s="484" t="s">
        <v>438</v>
      </c>
      <c r="B114" s="483">
        <v>97</v>
      </c>
      <c r="C114" s="483">
        <v>93</v>
      </c>
      <c r="D114" s="483">
        <v>106</v>
      </c>
      <c r="E114" s="483">
        <v>96</v>
      </c>
      <c r="F114" s="483">
        <v>95</v>
      </c>
    </row>
    <row r="115" spans="1:6">
      <c r="A115" s="482" t="s">
        <v>439</v>
      </c>
      <c r="B115" s="483">
        <v>681</v>
      </c>
      <c r="C115" s="483">
        <v>705</v>
      </c>
      <c r="D115" s="483">
        <v>621</v>
      </c>
      <c r="E115" s="483">
        <v>621</v>
      </c>
      <c r="F115" s="483">
        <v>821</v>
      </c>
    </row>
    <row r="116" spans="1:6">
      <c r="A116" s="484" t="s">
        <v>440</v>
      </c>
      <c r="B116" s="483">
        <v>583</v>
      </c>
      <c r="C116" s="483">
        <v>615</v>
      </c>
      <c r="D116" s="483">
        <v>523</v>
      </c>
      <c r="E116" s="483">
        <v>533</v>
      </c>
      <c r="F116" s="483">
        <v>700</v>
      </c>
    </row>
    <row r="117" spans="1:6">
      <c r="A117" s="484" t="s">
        <v>441</v>
      </c>
      <c r="B117" s="483">
        <v>98</v>
      </c>
      <c r="C117" s="483">
        <v>90</v>
      </c>
      <c r="D117" s="483">
        <v>98</v>
      </c>
      <c r="E117" s="483">
        <v>87</v>
      </c>
      <c r="F117" s="483">
        <v>121</v>
      </c>
    </row>
    <row r="118" spans="1:6">
      <c r="A118" s="482" t="s">
        <v>442</v>
      </c>
      <c r="B118" s="483">
        <v>75</v>
      </c>
      <c r="C118" s="483">
        <v>55</v>
      </c>
      <c r="D118" s="483">
        <v>85</v>
      </c>
      <c r="E118" s="483">
        <v>78</v>
      </c>
      <c r="F118" s="483">
        <v>75</v>
      </c>
    </row>
    <row r="119" spans="1:6">
      <c r="A119" s="482" t="s">
        <v>443</v>
      </c>
      <c r="B119" s="483">
        <v>371</v>
      </c>
      <c r="C119" s="483">
        <v>373</v>
      </c>
      <c r="D119" s="483">
        <v>330</v>
      </c>
      <c r="E119" s="483">
        <v>357</v>
      </c>
      <c r="F119" s="483">
        <v>431</v>
      </c>
    </row>
    <row r="120" spans="1:6">
      <c r="A120" s="482" t="s">
        <v>444</v>
      </c>
      <c r="B120" s="483">
        <v>274</v>
      </c>
      <c r="C120" s="483">
        <v>284</v>
      </c>
      <c r="D120" s="483">
        <v>216</v>
      </c>
      <c r="E120" s="483">
        <v>246</v>
      </c>
      <c r="F120" s="483">
        <v>367</v>
      </c>
    </row>
    <row r="121" spans="1:6">
      <c r="A121" s="476" t="s">
        <v>339</v>
      </c>
      <c r="B121" s="552"/>
      <c r="C121" s="552"/>
      <c r="D121" s="552"/>
      <c r="E121" s="552"/>
      <c r="F121" s="552"/>
    </row>
    <row r="122" spans="1:6">
      <c r="A122" s="479" t="s">
        <v>445</v>
      </c>
      <c r="B122" s="478">
        <v>9275</v>
      </c>
      <c r="C122" s="478">
        <v>8574</v>
      </c>
      <c r="D122" s="478">
        <v>9077</v>
      </c>
      <c r="E122" s="478">
        <v>9447</v>
      </c>
      <c r="F122" s="478">
        <v>9747</v>
      </c>
    </row>
    <row r="123" spans="1:6">
      <c r="A123" s="482" t="s">
        <v>446</v>
      </c>
      <c r="B123" s="478">
        <v>3815</v>
      </c>
      <c r="C123" s="478">
        <v>3132</v>
      </c>
      <c r="D123" s="478">
        <v>3692</v>
      </c>
      <c r="E123" s="478">
        <v>4346</v>
      </c>
      <c r="F123" s="478">
        <v>3574</v>
      </c>
    </row>
    <row r="124" spans="1:6">
      <c r="A124" s="484" t="s">
        <v>447</v>
      </c>
      <c r="B124" s="478">
        <v>1802</v>
      </c>
      <c r="C124" s="478">
        <v>1416</v>
      </c>
      <c r="D124" s="478">
        <v>1559</v>
      </c>
      <c r="E124" s="478">
        <v>2146</v>
      </c>
      <c r="F124" s="478">
        <v>1760</v>
      </c>
    </row>
    <row r="125" spans="1:6">
      <c r="A125" s="484" t="s">
        <v>448</v>
      </c>
      <c r="B125" s="478">
        <v>1950</v>
      </c>
      <c r="C125" s="478">
        <v>1690</v>
      </c>
      <c r="D125" s="478">
        <v>2063</v>
      </c>
      <c r="E125" s="478">
        <v>2128</v>
      </c>
      <c r="F125" s="478">
        <v>1745</v>
      </c>
    </row>
    <row r="126" spans="1:6">
      <c r="A126" s="484" t="s">
        <v>449</v>
      </c>
      <c r="B126" s="483">
        <v>62</v>
      </c>
      <c r="C126" s="483">
        <v>25</v>
      </c>
      <c r="D126" s="483">
        <v>69</v>
      </c>
      <c r="E126" s="483">
        <v>72</v>
      </c>
      <c r="F126" s="483">
        <v>69</v>
      </c>
    </row>
    <row r="127" spans="1:6">
      <c r="A127" s="482" t="s">
        <v>450</v>
      </c>
      <c r="B127" s="478">
        <v>1999</v>
      </c>
      <c r="C127" s="478">
        <v>1709</v>
      </c>
      <c r="D127" s="478">
        <v>1971</v>
      </c>
      <c r="E127" s="478">
        <v>2034</v>
      </c>
      <c r="F127" s="478">
        <v>2205</v>
      </c>
    </row>
    <row r="128" spans="1:6">
      <c r="A128" s="482" t="s">
        <v>451</v>
      </c>
      <c r="B128" s="478">
        <v>2820</v>
      </c>
      <c r="C128" s="478">
        <v>2803</v>
      </c>
      <c r="D128" s="478">
        <v>2881</v>
      </c>
      <c r="E128" s="478">
        <v>2624</v>
      </c>
      <c r="F128" s="478">
        <v>3113</v>
      </c>
    </row>
    <row r="129" spans="1:6">
      <c r="A129" s="484" t="s">
        <v>452</v>
      </c>
      <c r="B129" s="483">
        <v>221</v>
      </c>
      <c r="C129" s="483">
        <v>172</v>
      </c>
      <c r="D129" s="483">
        <v>218</v>
      </c>
      <c r="E129" s="483">
        <v>253</v>
      </c>
      <c r="F129" s="483">
        <v>209</v>
      </c>
    </row>
    <row r="130" spans="1:6">
      <c r="A130" s="484" t="s">
        <v>453</v>
      </c>
      <c r="B130" s="483">
        <v>843</v>
      </c>
      <c r="C130" s="483">
        <v>783</v>
      </c>
      <c r="D130" s="483">
        <v>847</v>
      </c>
      <c r="E130" s="483">
        <v>790</v>
      </c>
      <c r="F130" s="483">
        <v>980</v>
      </c>
    </row>
    <row r="131" spans="1:6">
      <c r="A131" s="484" t="s">
        <v>454</v>
      </c>
      <c r="B131" s="478">
        <v>1114</v>
      </c>
      <c r="C131" s="483">
        <v>999</v>
      </c>
      <c r="D131" s="478">
        <v>1108</v>
      </c>
      <c r="E131" s="478">
        <v>1128</v>
      </c>
      <c r="F131" s="478">
        <v>1188</v>
      </c>
    </row>
    <row r="132" spans="1:6" ht="22.5">
      <c r="A132" s="484" t="s">
        <v>455</v>
      </c>
      <c r="B132" s="483">
        <v>642</v>
      </c>
      <c r="C132" s="483">
        <v>850</v>
      </c>
      <c r="D132" s="483">
        <v>709</v>
      </c>
      <c r="E132" s="483">
        <v>453</v>
      </c>
      <c r="F132" s="483">
        <v>736</v>
      </c>
    </row>
    <row r="133" spans="1:6">
      <c r="A133" s="482" t="s">
        <v>456</v>
      </c>
      <c r="B133" s="483">
        <v>642</v>
      </c>
      <c r="C133" s="483">
        <v>930</v>
      </c>
      <c r="D133" s="483">
        <v>533</v>
      </c>
      <c r="E133" s="483">
        <v>444</v>
      </c>
      <c r="F133" s="483">
        <v>855</v>
      </c>
    </row>
    <row r="134" spans="1:6">
      <c r="A134" s="476" t="s">
        <v>339</v>
      </c>
      <c r="B134" s="552"/>
      <c r="C134" s="552"/>
      <c r="D134" s="552"/>
      <c r="E134" s="552"/>
      <c r="F134" s="552"/>
    </row>
    <row r="135" spans="1:6">
      <c r="A135" s="479" t="s">
        <v>457</v>
      </c>
      <c r="B135" s="478">
        <v>4477</v>
      </c>
      <c r="C135" s="478">
        <v>4492</v>
      </c>
      <c r="D135" s="478">
        <v>4788</v>
      </c>
      <c r="E135" s="478">
        <v>4271</v>
      </c>
      <c r="F135" s="478">
        <v>4523</v>
      </c>
    </row>
    <row r="136" spans="1:6">
      <c r="A136" s="482" t="s">
        <v>458</v>
      </c>
      <c r="B136" s="478">
        <v>3069</v>
      </c>
      <c r="C136" s="478">
        <v>3198</v>
      </c>
      <c r="D136" s="478">
        <v>3178</v>
      </c>
      <c r="E136" s="478">
        <v>2971</v>
      </c>
      <c r="F136" s="478">
        <v>3026</v>
      </c>
    </row>
    <row r="137" spans="1:6">
      <c r="A137" s="482" t="s">
        <v>459</v>
      </c>
      <c r="B137" s="483">
        <v>815</v>
      </c>
      <c r="C137" s="483">
        <v>759</v>
      </c>
      <c r="D137" s="483">
        <v>956</v>
      </c>
      <c r="E137" s="483">
        <v>706</v>
      </c>
      <c r="F137" s="483">
        <v>913</v>
      </c>
    </row>
    <row r="138" spans="1:6">
      <c r="A138" s="482" t="s">
        <v>460</v>
      </c>
      <c r="B138" s="483">
        <v>444</v>
      </c>
      <c r="C138" s="483">
        <v>397</v>
      </c>
      <c r="D138" s="483">
        <v>495</v>
      </c>
      <c r="E138" s="483">
        <v>452</v>
      </c>
      <c r="F138" s="483">
        <v>418</v>
      </c>
    </row>
    <row r="139" spans="1:6">
      <c r="A139" s="482" t="s">
        <v>461</v>
      </c>
      <c r="B139" s="483">
        <v>150</v>
      </c>
      <c r="C139" s="483">
        <v>137</v>
      </c>
      <c r="D139" s="483">
        <v>158</v>
      </c>
      <c r="E139" s="483">
        <v>141</v>
      </c>
      <c r="F139" s="483">
        <v>166</v>
      </c>
    </row>
    <row r="140" spans="1:6">
      <c r="A140" s="476" t="s">
        <v>339</v>
      </c>
      <c r="B140" s="552"/>
      <c r="C140" s="552"/>
      <c r="D140" s="552"/>
      <c r="E140" s="552"/>
      <c r="F140" s="552"/>
    </row>
    <row r="141" spans="1:6">
      <c r="A141" s="479" t="s">
        <v>462</v>
      </c>
      <c r="B141" s="478">
        <v>2878</v>
      </c>
      <c r="C141" s="478">
        <v>2768</v>
      </c>
      <c r="D141" s="478">
        <v>2946</v>
      </c>
      <c r="E141" s="478">
        <v>2672</v>
      </c>
      <c r="F141" s="478">
        <v>3260</v>
      </c>
    </row>
    <row r="142" spans="1:6">
      <c r="A142" s="482" t="s">
        <v>463</v>
      </c>
      <c r="B142" s="483">
        <v>667</v>
      </c>
      <c r="C142" s="483">
        <v>747</v>
      </c>
      <c r="D142" s="483">
        <v>643</v>
      </c>
      <c r="E142" s="483">
        <v>503</v>
      </c>
      <c r="F142" s="483">
        <v>908</v>
      </c>
    </row>
    <row r="143" spans="1:6" ht="22.5">
      <c r="A143" s="482" t="s">
        <v>464</v>
      </c>
      <c r="B143" s="478">
        <v>1084</v>
      </c>
      <c r="C143" s="478">
        <v>1094</v>
      </c>
      <c r="D143" s="478">
        <v>1061</v>
      </c>
      <c r="E143" s="478">
        <v>1099</v>
      </c>
      <c r="F143" s="478">
        <v>1073</v>
      </c>
    </row>
    <row r="144" spans="1:6" ht="22.5">
      <c r="A144" s="482" t="s">
        <v>465</v>
      </c>
      <c r="B144" s="483">
        <v>697</v>
      </c>
      <c r="C144" s="483">
        <v>652</v>
      </c>
      <c r="D144" s="483">
        <v>806</v>
      </c>
      <c r="E144" s="483">
        <v>637</v>
      </c>
      <c r="F144" s="483">
        <v>734</v>
      </c>
    </row>
    <row r="145" spans="1:6">
      <c r="A145" s="484" t="s">
        <v>466</v>
      </c>
      <c r="B145" s="483">
        <v>556</v>
      </c>
      <c r="C145" s="483">
        <v>532</v>
      </c>
      <c r="D145" s="483">
        <v>647</v>
      </c>
      <c r="E145" s="483">
        <v>503</v>
      </c>
      <c r="F145" s="483">
        <v>580</v>
      </c>
    </row>
    <row r="146" spans="1:6" ht="22.5">
      <c r="A146" s="484" t="s">
        <v>467</v>
      </c>
      <c r="B146" s="483">
        <v>141</v>
      </c>
      <c r="C146" s="483">
        <v>119</v>
      </c>
      <c r="D146" s="483">
        <v>160</v>
      </c>
      <c r="E146" s="483">
        <v>134</v>
      </c>
      <c r="F146" s="483">
        <v>154</v>
      </c>
    </row>
    <row r="147" spans="1:6" ht="22.5">
      <c r="A147" s="482" t="s">
        <v>468</v>
      </c>
      <c r="B147" s="483">
        <v>430</v>
      </c>
      <c r="C147" s="483">
        <v>275</v>
      </c>
      <c r="D147" s="483">
        <v>435</v>
      </c>
      <c r="E147" s="483">
        <v>434</v>
      </c>
      <c r="F147" s="483">
        <v>545</v>
      </c>
    </row>
    <row r="148" spans="1:6">
      <c r="A148" s="476" t="s">
        <v>339</v>
      </c>
      <c r="B148" s="552"/>
      <c r="C148" s="552"/>
      <c r="D148" s="552"/>
      <c r="E148" s="552"/>
      <c r="F148" s="552"/>
    </row>
    <row r="149" spans="1:6">
      <c r="A149" s="479" t="s">
        <v>469</v>
      </c>
      <c r="B149" s="483">
        <v>695</v>
      </c>
      <c r="C149" s="483">
        <v>707</v>
      </c>
      <c r="D149" s="483">
        <v>680</v>
      </c>
      <c r="E149" s="483">
        <v>629</v>
      </c>
      <c r="F149" s="483">
        <v>811</v>
      </c>
    </row>
    <row r="150" spans="1:6">
      <c r="A150" s="476" t="s">
        <v>339</v>
      </c>
      <c r="B150" s="552"/>
      <c r="C150" s="552"/>
      <c r="D150" s="552"/>
      <c r="E150" s="552"/>
      <c r="F150" s="552"/>
    </row>
    <row r="151" spans="1:6">
      <c r="A151" s="479" t="s">
        <v>470</v>
      </c>
      <c r="B151" s="483">
        <v>116</v>
      </c>
      <c r="C151" s="483">
        <v>112</v>
      </c>
      <c r="D151" s="483">
        <v>119</v>
      </c>
      <c r="E151" s="483">
        <v>93</v>
      </c>
      <c r="F151" s="483">
        <v>156</v>
      </c>
    </row>
    <row r="152" spans="1:6">
      <c r="A152" s="476" t="s">
        <v>339</v>
      </c>
      <c r="B152" s="552"/>
      <c r="C152" s="552"/>
      <c r="D152" s="552"/>
      <c r="E152" s="552"/>
      <c r="F152" s="552"/>
    </row>
    <row r="153" spans="1:6">
      <c r="A153" s="479" t="s">
        <v>471</v>
      </c>
      <c r="B153" s="478">
        <v>1322</v>
      </c>
      <c r="C153" s="478">
        <v>1985</v>
      </c>
      <c r="D153" s="478">
        <v>1284</v>
      </c>
      <c r="E153" s="483">
        <v>997</v>
      </c>
      <c r="F153" s="478">
        <v>1376</v>
      </c>
    </row>
    <row r="154" spans="1:6">
      <c r="A154" s="476" t="s">
        <v>339</v>
      </c>
      <c r="B154" s="552"/>
      <c r="C154" s="552"/>
      <c r="D154" s="552"/>
      <c r="E154" s="552"/>
      <c r="F154" s="552"/>
    </row>
    <row r="155" spans="1:6">
      <c r="A155" s="479" t="s">
        <v>472</v>
      </c>
      <c r="B155" s="483">
        <v>343</v>
      </c>
      <c r="C155" s="483">
        <v>343</v>
      </c>
      <c r="D155" s="483">
        <v>415</v>
      </c>
      <c r="E155" s="483">
        <v>362</v>
      </c>
      <c r="F155" s="483">
        <v>242</v>
      </c>
    </row>
    <row r="156" spans="1:6">
      <c r="A156" s="476" t="s">
        <v>339</v>
      </c>
      <c r="B156" s="552"/>
      <c r="C156" s="552"/>
      <c r="D156" s="552"/>
      <c r="E156" s="552"/>
      <c r="F156" s="552"/>
    </row>
    <row r="157" spans="1:6">
      <c r="A157" s="479" t="s">
        <v>473</v>
      </c>
      <c r="B157" s="483">
        <v>915</v>
      </c>
      <c r="C157" s="483">
        <v>939</v>
      </c>
      <c r="D157" s="478">
        <v>1002</v>
      </c>
      <c r="E157" s="483">
        <v>705</v>
      </c>
      <c r="F157" s="478">
        <v>1179</v>
      </c>
    </row>
    <row r="158" spans="1:6">
      <c r="A158" s="476" t="s">
        <v>339</v>
      </c>
      <c r="B158" s="552"/>
      <c r="C158" s="552"/>
      <c r="D158" s="552"/>
      <c r="E158" s="552"/>
      <c r="F158" s="552"/>
    </row>
    <row r="159" spans="1:6">
      <c r="A159" s="479" t="s">
        <v>474</v>
      </c>
      <c r="B159" s="478">
        <v>1950</v>
      </c>
      <c r="C159" s="478">
        <v>2258</v>
      </c>
      <c r="D159" s="478">
        <v>1718</v>
      </c>
      <c r="E159" s="478">
        <v>1807</v>
      </c>
      <c r="F159" s="478">
        <v>2173</v>
      </c>
    </row>
    <row r="160" spans="1:6">
      <c r="A160" s="476" t="s">
        <v>339</v>
      </c>
      <c r="B160" s="552"/>
      <c r="C160" s="552"/>
      <c r="D160" s="552"/>
      <c r="E160" s="552"/>
      <c r="F160" s="552"/>
    </row>
    <row r="161" spans="1:6">
      <c r="A161" s="479" t="s">
        <v>475</v>
      </c>
      <c r="B161" s="478">
        <v>6591</v>
      </c>
      <c r="C161" s="478">
        <v>7107</v>
      </c>
      <c r="D161" s="478">
        <v>6509</v>
      </c>
      <c r="E161" s="478">
        <v>5869</v>
      </c>
      <c r="F161" s="478">
        <v>7504</v>
      </c>
    </row>
    <row r="162" spans="1:6">
      <c r="A162" s="482" t="s">
        <v>476</v>
      </c>
      <c r="B162" s="483">
        <v>327</v>
      </c>
      <c r="C162" s="483">
        <v>389</v>
      </c>
      <c r="D162" s="483">
        <v>344</v>
      </c>
      <c r="E162" s="483">
        <v>291</v>
      </c>
      <c r="F162" s="483">
        <v>323</v>
      </c>
    </row>
    <row r="163" spans="1:6">
      <c r="A163" s="482" t="s">
        <v>477</v>
      </c>
      <c r="B163" s="478">
        <v>6263</v>
      </c>
      <c r="C163" s="478">
        <v>6717</v>
      </c>
      <c r="D163" s="478">
        <v>6165</v>
      </c>
      <c r="E163" s="478">
        <v>5577</v>
      </c>
      <c r="F163" s="478">
        <v>7181</v>
      </c>
    </row>
    <row r="164" spans="1:6">
      <c r="A164" s="476" t="s">
        <v>339</v>
      </c>
      <c r="B164" s="552"/>
      <c r="C164" s="552"/>
      <c r="D164" s="552"/>
      <c r="E164" s="552"/>
      <c r="F164" s="552"/>
    </row>
    <row r="165" spans="1:6" ht="22.5">
      <c r="A165" s="475" t="s">
        <v>478</v>
      </c>
      <c r="B165" s="552"/>
      <c r="C165" s="552"/>
      <c r="D165" s="552"/>
      <c r="E165" s="552"/>
      <c r="F165" s="552"/>
    </row>
    <row r="166" spans="1:6">
      <c r="A166" s="476" t="s">
        <v>339</v>
      </c>
      <c r="B166" s="552"/>
      <c r="C166" s="552"/>
      <c r="D166" s="552"/>
      <c r="E166" s="552"/>
      <c r="F166" s="552"/>
    </row>
    <row r="167" spans="1:6">
      <c r="A167" s="479" t="s">
        <v>479</v>
      </c>
      <c r="B167" s="480">
        <v>72156</v>
      </c>
      <c r="C167" s="480">
        <v>79079</v>
      </c>
      <c r="D167" s="480">
        <v>68594</v>
      </c>
      <c r="E167" s="480">
        <v>64783</v>
      </c>
      <c r="F167" s="480">
        <v>82775</v>
      </c>
    </row>
    <row r="168" spans="1:6">
      <c r="A168" s="482" t="s">
        <v>480</v>
      </c>
      <c r="B168" s="478">
        <v>55868</v>
      </c>
      <c r="C168" s="478">
        <v>62002</v>
      </c>
      <c r="D168" s="478">
        <v>53942</v>
      </c>
      <c r="E168" s="478">
        <v>50506</v>
      </c>
      <c r="F168" s="478">
        <v>62029</v>
      </c>
    </row>
    <row r="169" spans="1:6">
      <c r="A169" s="482" t="s">
        <v>481</v>
      </c>
      <c r="B169" s="478">
        <v>5321</v>
      </c>
      <c r="C169" s="478">
        <v>4678</v>
      </c>
      <c r="D169" s="478">
        <v>3831</v>
      </c>
      <c r="E169" s="478">
        <v>4204</v>
      </c>
      <c r="F169" s="478">
        <v>9263</v>
      </c>
    </row>
    <row r="170" spans="1:6" ht="22.5">
      <c r="A170" s="482" t="s">
        <v>482</v>
      </c>
      <c r="B170" s="478">
        <v>7901</v>
      </c>
      <c r="C170" s="478">
        <v>8880</v>
      </c>
      <c r="D170" s="478">
        <v>7937</v>
      </c>
      <c r="E170" s="478">
        <v>7671</v>
      </c>
      <c r="F170" s="478">
        <v>7457</v>
      </c>
    </row>
    <row r="171" spans="1:6" ht="22.5">
      <c r="A171" s="482" t="s">
        <v>483</v>
      </c>
      <c r="B171" s="478">
        <v>1744</v>
      </c>
      <c r="C171" s="478">
        <v>1901</v>
      </c>
      <c r="D171" s="478">
        <v>1625</v>
      </c>
      <c r="E171" s="478">
        <v>1289</v>
      </c>
      <c r="F171" s="478">
        <v>2526</v>
      </c>
    </row>
    <row r="172" spans="1:6" ht="33.75">
      <c r="A172" s="482" t="s">
        <v>484</v>
      </c>
      <c r="B172" s="483">
        <v>543</v>
      </c>
      <c r="C172" s="483">
        <v>680</v>
      </c>
      <c r="D172" s="483">
        <v>512</v>
      </c>
      <c r="E172" s="483">
        <v>473</v>
      </c>
      <c r="F172" s="483">
        <v>582</v>
      </c>
    </row>
    <row r="173" spans="1:6" ht="33.75">
      <c r="A173" s="482" t="s">
        <v>485</v>
      </c>
      <c r="B173" s="483">
        <v>438</v>
      </c>
      <c r="C173" s="483">
        <v>529</v>
      </c>
      <c r="D173" s="483">
        <v>429</v>
      </c>
      <c r="E173" s="483">
        <v>364</v>
      </c>
      <c r="F173" s="483">
        <v>502</v>
      </c>
    </row>
    <row r="174" spans="1:6">
      <c r="A174" s="482" t="s">
        <v>486</v>
      </c>
      <c r="B174" s="483">
        <v>340</v>
      </c>
      <c r="C174" s="483">
        <v>410</v>
      </c>
      <c r="D174" s="483">
        <v>317</v>
      </c>
      <c r="E174" s="483">
        <v>277</v>
      </c>
      <c r="F174" s="483">
        <v>415</v>
      </c>
    </row>
    <row r="175" spans="1:6">
      <c r="A175" s="476" t="s">
        <v>339</v>
      </c>
      <c r="B175" s="552"/>
      <c r="C175" s="552"/>
      <c r="D175" s="552"/>
      <c r="E175" s="552"/>
      <c r="F175" s="552"/>
    </row>
    <row r="176" spans="1:6" ht="22.5">
      <c r="A176" s="479" t="s">
        <v>487</v>
      </c>
      <c r="B176" s="478">
        <v>9836</v>
      </c>
      <c r="C176" s="478">
        <v>11993</v>
      </c>
      <c r="D176" s="478">
        <v>8585</v>
      </c>
      <c r="E176" s="478">
        <v>7966</v>
      </c>
      <c r="F176" s="478">
        <v>12539</v>
      </c>
    </row>
    <row r="177" spans="1:6">
      <c r="A177" s="482" t="s">
        <v>488</v>
      </c>
      <c r="B177" s="478">
        <v>7742</v>
      </c>
      <c r="C177" s="478">
        <v>9190</v>
      </c>
      <c r="D177" s="478">
        <v>6500</v>
      </c>
      <c r="E177" s="478">
        <v>6470</v>
      </c>
      <c r="F177" s="478">
        <v>9977</v>
      </c>
    </row>
    <row r="178" spans="1:6">
      <c r="A178" s="482" t="s">
        <v>489</v>
      </c>
      <c r="B178" s="478">
        <v>2022</v>
      </c>
      <c r="C178" s="478">
        <v>2732</v>
      </c>
      <c r="D178" s="478">
        <v>2018</v>
      </c>
      <c r="E178" s="478">
        <v>1409</v>
      </c>
      <c r="F178" s="478">
        <v>2507</v>
      </c>
    </row>
    <row r="179" spans="1:6">
      <c r="A179" s="482" t="s">
        <v>490</v>
      </c>
      <c r="B179" s="483">
        <v>73</v>
      </c>
      <c r="C179" s="483">
        <v>71</v>
      </c>
      <c r="D179" s="483">
        <v>67</v>
      </c>
      <c r="E179" s="483">
        <v>86</v>
      </c>
      <c r="F179" s="483">
        <v>54</v>
      </c>
    </row>
    <row r="180" spans="1:6">
      <c r="A180" s="476" t="s">
        <v>339</v>
      </c>
      <c r="B180" s="552"/>
      <c r="C180" s="552"/>
      <c r="D180" s="552"/>
      <c r="E180" s="552"/>
      <c r="F180" s="552"/>
    </row>
    <row r="181" spans="1:6">
      <c r="A181" s="479" t="s">
        <v>342</v>
      </c>
      <c r="B181" s="478">
        <v>62320</v>
      </c>
      <c r="C181" s="478">
        <v>67086</v>
      </c>
      <c r="D181" s="478">
        <v>60008</v>
      </c>
      <c r="E181" s="478">
        <v>56818</v>
      </c>
      <c r="F181" s="478">
        <v>70236</v>
      </c>
    </row>
    <row r="182" spans="1:6">
      <c r="A182" s="476" t="s">
        <v>339</v>
      </c>
      <c r="B182" s="552"/>
      <c r="C182" s="552"/>
      <c r="D182" s="552"/>
      <c r="E182" s="552"/>
      <c r="F182" s="552"/>
    </row>
    <row r="183" spans="1:6">
      <c r="A183" s="475" t="s">
        <v>491</v>
      </c>
      <c r="B183" s="552"/>
      <c r="C183" s="552"/>
      <c r="D183" s="552"/>
      <c r="E183" s="552"/>
      <c r="F183" s="552"/>
    </row>
    <row r="184" spans="1:6">
      <c r="A184" s="476" t="s">
        <v>339</v>
      </c>
      <c r="B184" s="552"/>
      <c r="C184" s="552"/>
      <c r="D184" s="552"/>
      <c r="E184" s="552"/>
      <c r="F184" s="552"/>
    </row>
    <row r="185" spans="1:6">
      <c r="A185" s="479" t="s">
        <v>492</v>
      </c>
      <c r="B185" s="480">
        <v>7837</v>
      </c>
      <c r="C185" s="480">
        <v>10521</v>
      </c>
      <c r="D185" s="480">
        <v>7481</v>
      </c>
      <c r="E185" s="480">
        <v>5550</v>
      </c>
      <c r="F185" s="480">
        <v>9955</v>
      </c>
    </row>
    <row r="186" spans="1:6">
      <c r="A186" s="482" t="s">
        <v>493</v>
      </c>
      <c r="B186" s="478">
        <v>15510</v>
      </c>
      <c r="C186" s="478">
        <v>17389</v>
      </c>
      <c r="D186" s="478">
        <v>14415</v>
      </c>
      <c r="E186" s="478">
        <v>11713</v>
      </c>
      <c r="F186" s="478">
        <v>21654</v>
      </c>
    </row>
    <row r="187" spans="1:6">
      <c r="A187" s="482" t="s">
        <v>494</v>
      </c>
      <c r="B187" s="478">
        <v>7673</v>
      </c>
      <c r="C187" s="478">
        <v>6868</v>
      </c>
      <c r="D187" s="478">
        <v>6934</v>
      </c>
      <c r="E187" s="478">
        <v>6164</v>
      </c>
      <c r="F187" s="478">
        <v>11699</v>
      </c>
    </row>
    <row r="188" spans="1:6">
      <c r="A188" s="476" t="s">
        <v>339</v>
      </c>
      <c r="B188" s="552"/>
      <c r="C188" s="552"/>
      <c r="D188" s="552"/>
      <c r="E188" s="552"/>
      <c r="F188" s="552"/>
    </row>
    <row r="189" spans="1:6">
      <c r="A189" s="479" t="s">
        <v>495</v>
      </c>
      <c r="B189" s="552"/>
      <c r="C189" s="552"/>
      <c r="D189" s="552"/>
      <c r="E189" s="552"/>
      <c r="F189" s="552"/>
    </row>
    <row r="190" spans="1:6">
      <c r="A190" s="482" t="s">
        <v>496</v>
      </c>
      <c r="B190" s="483">
        <v>742</v>
      </c>
      <c r="C190" s="483">
        <v>995</v>
      </c>
      <c r="D190" s="483">
        <v>407</v>
      </c>
      <c r="E190" s="483">
        <v>559</v>
      </c>
      <c r="F190" s="478">
        <v>1179</v>
      </c>
    </row>
    <row r="191" spans="1:6" ht="22.5">
      <c r="A191" s="482" t="s">
        <v>497</v>
      </c>
      <c r="B191" s="478">
        <v>-1833</v>
      </c>
      <c r="C191" s="478">
        <v>-1885</v>
      </c>
      <c r="D191" s="478">
        <v>-1738</v>
      </c>
      <c r="E191" s="478">
        <v>-1609</v>
      </c>
      <c r="F191" s="478">
        <v>-2273</v>
      </c>
    </row>
    <row r="192" spans="1:6" ht="22.5">
      <c r="A192" s="482" t="s">
        <v>498</v>
      </c>
      <c r="B192" s="478">
        <v>167526</v>
      </c>
      <c r="C192" s="478">
        <v>194371</v>
      </c>
      <c r="D192" s="478">
        <v>125401</v>
      </c>
      <c r="E192" s="478">
        <v>131191</v>
      </c>
      <c r="F192" s="478">
        <v>249922</v>
      </c>
    </row>
    <row r="193" spans="1:6" ht="22.5">
      <c r="A193" s="482" t="s">
        <v>499</v>
      </c>
      <c r="B193" s="483">
        <v>951</v>
      </c>
      <c r="C193" s="478">
        <v>1104</v>
      </c>
      <c r="D193" s="483">
        <v>810</v>
      </c>
      <c r="E193" s="483">
        <v>850</v>
      </c>
      <c r="F193" s="478">
        <v>1137</v>
      </c>
    </row>
    <row r="194" spans="1:6">
      <c r="A194" s="476" t="s">
        <v>339</v>
      </c>
      <c r="B194" s="552"/>
      <c r="C194" s="552"/>
      <c r="D194" s="552"/>
      <c r="E194" s="552"/>
      <c r="F194" s="552"/>
    </row>
    <row r="195" spans="1:6">
      <c r="A195" s="479" t="s">
        <v>500</v>
      </c>
      <c r="B195" s="478">
        <v>1187</v>
      </c>
      <c r="C195" s="478">
        <v>1258</v>
      </c>
      <c r="D195" s="478">
        <v>1139</v>
      </c>
      <c r="E195" s="478">
        <v>1032</v>
      </c>
      <c r="F195" s="478">
        <v>1441</v>
      </c>
    </row>
    <row r="196" spans="1:6">
      <c r="A196" s="482" t="s">
        <v>373</v>
      </c>
      <c r="B196" s="483">
        <v>83</v>
      </c>
      <c r="C196" s="483">
        <v>68</v>
      </c>
      <c r="D196" s="483">
        <v>86</v>
      </c>
      <c r="E196" s="483">
        <v>69</v>
      </c>
      <c r="F196" s="483">
        <v>115</v>
      </c>
    </row>
    <row r="197" spans="1:6">
      <c r="A197" s="482" t="s">
        <v>400</v>
      </c>
      <c r="B197" s="483">
        <v>14</v>
      </c>
      <c r="C197" s="483">
        <v>23</v>
      </c>
      <c r="D197" s="483">
        <v>11</v>
      </c>
      <c r="E197" s="483">
        <v>8</v>
      </c>
      <c r="F197" s="483">
        <v>18</v>
      </c>
    </row>
    <row r="198" spans="1:6">
      <c r="A198" s="482" t="s">
        <v>401</v>
      </c>
      <c r="B198" s="483">
        <v>241</v>
      </c>
      <c r="C198" s="483">
        <v>261</v>
      </c>
      <c r="D198" s="483">
        <v>240</v>
      </c>
      <c r="E198" s="483">
        <v>224</v>
      </c>
      <c r="F198" s="483">
        <v>257</v>
      </c>
    </row>
    <row r="199" spans="1:6">
      <c r="A199" s="484" t="s">
        <v>423</v>
      </c>
      <c r="B199" s="483">
        <v>28</v>
      </c>
      <c r="C199" s="483">
        <v>30</v>
      </c>
      <c r="D199" s="483">
        <v>30</v>
      </c>
      <c r="E199" s="483">
        <v>25</v>
      </c>
      <c r="F199" s="483">
        <v>31</v>
      </c>
    </row>
    <row r="200" spans="1:6">
      <c r="A200" s="484" t="s">
        <v>429</v>
      </c>
      <c r="B200" s="483">
        <v>9</v>
      </c>
      <c r="C200" s="483">
        <v>9</v>
      </c>
      <c r="D200" s="483">
        <v>11</v>
      </c>
      <c r="E200" s="483">
        <v>8</v>
      </c>
      <c r="F200" s="483">
        <v>10</v>
      </c>
    </row>
    <row r="201" spans="1:6" ht="22.5">
      <c r="A201" s="484" t="s">
        <v>501</v>
      </c>
      <c r="B201" s="483">
        <v>21</v>
      </c>
      <c r="C201" s="483">
        <v>23</v>
      </c>
      <c r="D201" s="483">
        <v>20</v>
      </c>
      <c r="E201" s="483">
        <v>16</v>
      </c>
      <c r="F201" s="483">
        <v>30</v>
      </c>
    </row>
    <row r="202" spans="1:6">
      <c r="A202" s="485" t="s">
        <v>432</v>
      </c>
      <c r="B202" s="483">
        <v>8</v>
      </c>
      <c r="C202" s="483">
        <v>7</v>
      </c>
      <c r="D202" s="483">
        <v>7</v>
      </c>
      <c r="E202" s="483">
        <v>8</v>
      </c>
      <c r="F202" s="483">
        <v>11</v>
      </c>
    </row>
    <row r="203" spans="1:6" ht="22.5">
      <c r="A203" s="485" t="s">
        <v>502</v>
      </c>
      <c r="B203" s="483">
        <v>13</v>
      </c>
      <c r="C203" s="483">
        <v>16</v>
      </c>
      <c r="D203" s="483">
        <v>13</v>
      </c>
      <c r="E203" s="483">
        <v>9</v>
      </c>
      <c r="F203" s="483">
        <v>19</v>
      </c>
    </row>
    <row r="204" spans="1:6">
      <c r="A204" s="484" t="s">
        <v>434</v>
      </c>
      <c r="B204" s="483">
        <v>45</v>
      </c>
      <c r="C204" s="483">
        <v>64</v>
      </c>
      <c r="D204" s="483">
        <v>49</v>
      </c>
      <c r="E204" s="483">
        <v>38</v>
      </c>
      <c r="F204" s="483">
        <v>39</v>
      </c>
    </row>
    <row r="205" spans="1:6">
      <c r="A205" s="484" t="s">
        <v>503</v>
      </c>
      <c r="B205" s="483">
        <v>137</v>
      </c>
      <c r="C205" s="483">
        <v>135</v>
      </c>
      <c r="D205" s="483">
        <v>131</v>
      </c>
      <c r="E205" s="483">
        <v>136</v>
      </c>
      <c r="F205" s="483">
        <v>147</v>
      </c>
    </row>
    <row r="206" spans="1:6">
      <c r="A206" s="482" t="s">
        <v>435</v>
      </c>
      <c r="B206" s="483">
        <v>222</v>
      </c>
      <c r="C206" s="483">
        <v>188</v>
      </c>
      <c r="D206" s="483">
        <v>196</v>
      </c>
      <c r="E206" s="483">
        <v>204</v>
      </c>
      <c r="F206" s="483">
        <v>303</v>
      </c>
    </row>
    <row r="207" spans="1:6">
      <c r="A207" s="484" t="s">
        <v>504</v>
      </c>
      <c r="B207" s="483">
        <v>55</v>
      </c>
      <c r="C207" s="483">
        <v>58</v>
      </c>
      <c r="D207" s="483">
        <v>42</v>
      </c>
      <c r="E207" s="483">
        <v>52</v>
      </c>
      <c r="F207" s="483">
        <v>68</v>
      </c>
    </row>
    <row r="208" spans="1:6">
      <c r="A208" s="484" t="s">
        <v>505</v>
      </c>
      <c r="B208" s="483">
        <v>63</v>
      </c>
      <c r="C208" s="483">
        <v>59</v>
      </c>
      <c r="D208" s="483">
        <v>54</v>
      </c>
      <c r="E208" s="483">
        <v>70</v>
      </c>
      <c r="F208" s="483">
        <v>66</v>
      </c>
    </row>
    <row r="209" spans="1:6">
      <c r="A209" s="484" t="s">
        <v>442</v>
      </c>
      <c r="B209" s="483">
        <v>34</v>
      </c>
      <c r="C209" s="483">
        <v>21</v>
      </c>
      <c r="D209" s="483">
        <v>47</v>
      </c>
      <c r="E209" s="483">
        <v>38</v>
      </c>
      <c r="F209" s="483">
        <v>24</v>
      </c>
    </row>
    <row r="210" spans="1:6" ht="22.5">
      <c r="A210" s="484" t="s">
        <v>444</v>
      </c>
      <c r="B210" s="483">
        <v>70</v>
      </c>
      <c r="C210" s="483">
        <v>50</v>
      </c>
      <c r="D210" s="483">
        <v>52</v>
      </c>
      <c r="E210" s="483">
        <v>44</v>
      </c>
      <c r="F210" s="483">
        <v>146</v>
      </c>
    </row>
    <row r="211" spans="1:6">
      <c r="A211" s="485" t="s">
        <v>506</v>
      </c>
      <c r="B211" s="483">
        <v>37</v>
      </c>
      <c r="C211" s="483">
        <v>22</v>
      </c>
      <c r="D211" s="483">
        <v>26</v>
      </c>
      <c r="E211" s="483">
        <v>8</v>
      </c>
      <c r="F211" s="483">
        <v>108</v>
      </c>
    </row>
    <row r="212" spans="1:6" ht="22.5">
      <c r="A212" s="485" t="s">
        <v>507</v>
      </c>
      <c r="B212" s="483">
        <v>33</v>
      </c>
      <c r="C212" s="483">
        <v>28</v>
      </c>
      <c r="D212" s="483">
        <v>27</v>
      </c>
      <c r="E212" s="483">
        <v>36</v>
      </c>
      <c r="F212" s="483">
        <v>38</v>
      </c>
    </row>
    <row r="213" spans="1:6">
      <c r="A213" s="482" t="s">
        <v>445</v>
      </c>
      <c r="B213" s="483">
        <v>120</v>
      </c>
      <c r="C213" s="483">
        <v>61</v>
      </c>
      <c r="D213" s="483">
        <v>93</v>
      </c>
      <c r="E213" s="483">
        <v>116</v>
      </c>
      <c r="F213" s="483">
        <v>203</v>
      </c>
    </row>
    <row r="214" spans="1:6">
      <c r="A214" s="482" t="s">
        <v>457</v>
      </c>
      <c r="B214" s="483">
        <v>31</v>
      </c>
      <c r="C214" s="483">
        <v>16</v>
      </c>
      <c r="D214" s="483">
        <v>41</v>
      </c>
      <c r="E214" s="483">
        <v>35</v>
      </c>
      <c r="F214" s="483">
        <v>28</v>
      </c>
    </row>
    <row r="215" spans="1:6">
      <c r="A215" s="482" t="s">
        <v>462</v>
      </c>
      <c r="B215" s="483">
        <v>95</v>
      </c>
      <c r="C215" s="483">
        <v>81</v>
      </c>
      <c r="D215" s="483">
        <v>99</v>
      </c>
      <c r="E215" s="483">
        <v>83</v>
      </c>
      <c r="F215" s="483">
        <v>122</v>
      </c>
    </row>
    <row r="216" spans="1:6" ht="22.5">
      <c r="A216" s="484" t="s">
        <v>508</v>
      </c>
      <c r="B216" s="483">
        <v>36</v>
      </c>
      <c r="C216" s="483">
        <v>31</v>
      </c>
      <c r="D216" s="483">
        <v>34</v>
      </c>
      <c r="E216" s="483">
        <v>36</v>
      </c>
      <c r="F216" s="483">
        <v>43</v>
      </c>
    </row>
    <row r="217" spans="1:6">
      <c r="A217" s="484" t="s">
        <v>509</v>
      </c>
      <c r="B217" s="483">
        <v>59</v>
      </c>
      <c r="C217" s="483">
        <v>50</v>
      </c>
      <c r="D217" s="483">
        <v>65</v>
      </c>
      <c r="E217" s="483">
        <v>47</v>
      </c>
      <c r="F217" s="483">
        <v>79</v>
      </c>
    </row>
    <row r="218" spans="1:6">
      <c r="A218" s="482" t="s">
        <v>469</v>
      </c>
      <c r="B218" s="483">
        <v>15</v>
      </c>
      <c r="C218" s="483">
        <v>16</v>
      </c>
      <c r="D218" s="483">
        <v>17</v>
      </c>
      <c r="E218" s="483">
        <v>12</v>
      </c>
      <c r="F218" s="483">
        <v>16</v>
      </c>
    </row>
    <row r="219" spans="1:6">
      <c r="A219" s="482" t="s">
        <v>470</v>
      </c>
      <c r="B219" s="483">
        <v>5</v>
      </c>
      <c r="C219" s="483">
        <v>4</v>
      </c>
      <c r="D219" s="483">
        <v>6</v>
      </c>
      <c r="E219" s="483">
        <v>4</v>
      </c>
      <c r="F219" s="483">
        <v>6</v>
      </c>
    </row>
    <row r="220" spans="1:6">
      <c r="A220" s="482" t="s">
        <v>471</v>
      </c>
      <c r="B220" s="483">
        <v>277</v>
      </c>
      <c r="C220" s="483">
        <v>465</v>
      </c>
      <c r="D220" s="483">
        <v>247</v>
      </c>
      <c r="E220" s="483">
        <v>205</v>
      </c>
      <c r="F220" s="483">
        <v>276</v>
      </c>
    </row>
    <row r="221" spans="1:6">
      <c r="A221" s="482" t="s">
        <v>510</v>
      </c>
      <c r="B221" s="483">
        <v>85</v>
      </c>
      <c r="C221" s="483">
        <v>75</v>
      </c>
      <c r="D221" s="483">
        <v>103</v>
      </c>
      <c r="E221" s="483">
        <v>72</v>
      </c>
      <c r="F221" s="483">
        <v>98</v>
      </c>
    </row>
    <row r="223" spans="1:6">
      <c r="A223" s="722" t="s">
        <v>511</v>
      </c>
      <c r="B223" s="721"/>
      <c r="C223" s="721"/>
      <c r="D223" s="721"/>
      <c r="E223" s="721"/>
      <c r="F223" s="721"/>
    </row>
    <row r="227" spans="1:6">
      <c r="A227" s="723" t="s">
        <v>512</v>
      </c>
      <c r="B227" s="721"/>
      <c r="C227" s="721"/>
      <c r="D227" s="721"/>
      <c r="E227" s="721"/>
      <c r="F227" s="721"/>
    </row>
  </sheetData>
  <mergeCells count="3">
    <mergeCell ref="A1:F1"/>
    <mergeCell ref="A223:F223"/>
    <mergeCell ref="A227:F227"/>
  </mergeCells>
  <phoneticPr fontId="3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B244"/>
  <sheetViews>
    <sheetView topLeftCell="A148" zoomScale="70" zoomScaleNormal="70" workbookViewId="0">
      <selection activeCell="N13" sqref="N13"/>
    </sheetView>
  </sheetViews>
  <sheetFormatPr defaultRowHeight="15"/>
  <cols>
    <col min="1" max="1" width="10.140625" customWidth="1"/>
    <col min="2" max="2" width="9.85546875" customWidth="1"/>
    <col min="3" max="3" width="12" customWidth="1"/>
    <col min="4" max="4" width="11" customWidth="1"/>
    <col min="5" max="5" width="12.42578125" style="132" customWidth="1"/>
    <col min="6" max="6" width="13.5703125" style="132" customWidth="1"/>
    <col min="7" max="7" width="13" style="132" customWidth="1"/>
    <col min="8" max="8" width="11.42578125" style="132" customWidth="1"/>
    <col min="9" max="9" width="11" style="132" customWidth="1"/>
    <col min="10" max="10" width="10.5703125" style="132" customWidth="1"/>
    <col min="11" max="11" width="11.85546875" style="132" customWidth="1"/>
    <col min="12" max="12" width="11.140625" style="132" customWidth="1"/>
    <col min="13" max="13" width="14" style="132" customWidth="1"/>
    <col min="15" max="15" width="11.42578125" customWidth="1"/>
    <col min="16" max="16" width="9.42578125" customWidth="1"/>
    <col min="17" max="17" width="8.85546875" customWidth="1"/>
    <col min="18" max="18" width="9.5703125" customWidth="1"/>
    <col min="19" max="19" width="12.5703125" customWidth="1"/>
    <col min="20" max="20" width="12.85546875" customWidth="1"/>
    <col min="21" max="21" width="13.140625" customWidth="1"/>
    <col min="22" max="22" width="14" customWidth="1"/>
    <col min="23" max="23" width="13.42578125" customWidth="1"/>
    <col min="24" max="24" width="11.140625" bestFit="1" customWidth="1"/>
    <col min="25" max="27" width="12.140625" bestFit="1" customWidth="1"/>
  </cols>
  <sheetData>
    <row r="1" spans="1:28">
      <c r="A1" s="756" t="s">
        <v>513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8"/>
    </row>
    <row r="2" spans="1:28">
      <c r="A2" s="3"/>
      <c r="B2" s="195" t="s">
        <v>514</v>
      </c>
      <c r="C2" s="195" t="s">
        <v>515</v>
      </c>
      <c r="D2" s="195" t="s">
        <v>516</v>
      </c>
      <c r="E2" s="222" t="s">
        <v>517</v>
      </c>
      <c r="F2" s="222" t="s">
        <v>518</v>
      </c>
      <c r="G2" s="222" t="s">
        <v>519</v>
      </c>
      <c r="H2" s="222" t="s">
        <v>520</v>
      </c>
      <c r="I2" s="222" t="s">
        <v>521</v>
      </c>
      <c r="J2" s="222" t="s">
        <v>305</v>
      </c>
      <c r="K2" s="195" t="s">
        <v>522</v>
      </c>
      <c r="L2" s="195" t="s">
        <v>523</v>
      </c>
      <c r="M2" s="125" t="s">
        <v>524</v>
      </c>
    </row>
    <row r="3" spans="1:28" ht="30.75" thickBot="1">
      <c r="A3" s="277" t="s">
        <v>525</v>
      </c>
      <c r="B3" s="193">
        <v>5177</v>
      </c>
      <c r="C3" s="278">
        <v>7045707</v>
      </c>
      <c r="D3" s="278">
        <v>1360.963</v>
      </c>
      <c r="E3" s="203">
        <v>2467.5100000000002</v>
      </c>
      <c r="F3" s="203">
        <v>23097.47</v>
      </c>
      <c r="G3" s="203">
        <v>6259.0110000000004</v>
      </c>
      <c r="H3" s="203">
        <v>4622.8320000000003</v>
      </c>
      <c r="I3" s="203">
        <v>1964.85</v>
      </c>
      <c r="J3" s="203">
        <v>0</v>
      </c>
      <c r="K3" s="193">
        <v>0</v>
      </c>
      <c r="L3" s="193">
        <v>0</v>
      </c>
      <c r="M3" s="276">
        <v>0</v>
      </c>
    </row>
    <row r="6" spans="1:28" ht="15.75" thickBot="1">
      <c r="A6" s="730" t="s">
        <v>526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O6" s="730" t="s">
        <v>527</v>
      </c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</row>
    <row r="7" spans="1:28" ht="41.25" customHeight="1">
      <c r="A7" s="231"/>
      <c r="B7" s="232" t="s">
        <v>307</v>
      </c>
      <c r="C7" s="232" t="s">
        <v>281</v>
      </c>
      <c r="D7" s="232" t="s">
        <v>528</v>
      </c>
      <c r="E7" s="233" t="s">
        <v>529</v>
      </c>
      <c r="F7" s="233" t="s">
        <v>530</v>
      </c>
      <c r="G7" s="233" t="s">
        <v>531</v>
      </c>
      <c r="H7" s="233" t="s">
        <v>532</v>
      </c>
      <c r="I7" s="234" t="s">
        <v>533</v>
      </c>
      <c r="J7" s="233" t="s">
        <v>534</v>
      </c>
      <c r="K7" s="233" t="s">
        <v>535</v>
      </c>
      <c r="L7" s="233" t="s">
        <v>536</v>
      </c>
      <c r="M7" s="235" t="s">
        <v>537</v>
      </c>
      <c r="N7" s="236"/>
      <c r="O7" s="237"/>
      <c r="P7" s="238" t="s">
        <v>307</v>
      </c>
      <c r="Q7" s="239" t="s">
        <v>281</v>
      </c>
      <c r="R7" s="240" t="s">
        <v>528</v>
      </c>
      <c r="S7" s="233" t="s">
        <v>529</v>
      </c>
      <c r="T7" s="233" t="s">
        <v>530</v>
      </c>
      <c r="U7" s="233" t="s">
        <v>531</v>
      </c>
      <c r="V7" s="233" t="s">
        <v>532</v>
      </c>
      <c r="W7" s="234" t="s">
        <v>533</v>
      </c>
      <c r="X7" s="233" t="s">
        <v>534</v>
      </c>
      <c r="Y7" s="233" t="s">
        <v>535</v>
      </c>
      <c r="Z7" s="233" t="s">
        <v>536</v>
      </c>
      <c r="AA7" s="235" t="s">
        <v>537</v>
      </c>
    </row>
    <row r="8" spans="1:28" ht="14.25" customHeight="1">
      <c r="A8" s="741" t="s">
        <v>538</v>
      </c>
      <c r="B8" s="241">
        <v>1294</v>
      </c>
      <c r="C8" s="242">
        <f>B8/5177</f>
        <v>0.2499517094842573</v>
      </c>
      <c r="D8" s="206" t="s">
        <v>50</v>
      </c>
      <c r="E8" s="207">
        <v>6207729</v>
      </c>
      <c r="F8" s="207">
        <v>4795120</v>
      </c>
      <c r="G8" s="207">
        <v>3869382</v>
      </c>
      <c r="H8" s="207">
        <v>3471080</v>
      </c>
      <c r="I8" s="207">
        <v>3563629</v>
      </c>
      <c r="J8" s="207">
        <v>3729672</v>
      </c>
      <c r="K8" s="207">
        <v>4008724</v>
      </c>
      <c r="L8" s="207">
        <v>4301496</v>
      </c>
      <c r="M8" s="208">
        <v>4189065</v>
      </c>
      <c r="N8" s="236"/>
      <c r="O8" s="724" t="s">
        <v>539</v>
      </c>
      <c r="P8" s="214">
        <v>517</v>
      </c>
      <c r="Q8" s="243">
        <v>0.1</v>
      </c>
      <c r="R8" s="230" t="s">
        <v>50</v>
      </c>
      <c r="S8" s="244">
        <v>3763731</v>
      </c>
      <c r="T8" s="244">
        <v>2959992</v>
      </c>
      <c r="U8" s="244">
        <v>2158645</v>
      </c>
      <c r="V8" s="244">
        <v>1738178</v>
      </c>
      <c r="W8" s="244">
        <v>1694406</v>
      </c>
      <c r="X8" s="244">
        <v>1788408</v>
      </c>
      <c r="Y8" s="244">
        <v>1987436</v>
      </c>
      <c r="Z8" s="244">
        <v>2152733</v>
      </c>
      <c r="AA8" s="245">
        <v>2149741</v>
      </c>
    </row>
    <row r="9" spans="1:28">
      <c r="A9" s="741"/>
      <c r="B9" s="241"/>
      <c r="C9" s="241"/>
      <c r="D9" s="206" t="s">
        <v>151</v>
      </c>
      <c r="E9" s="207">
        <v>4797.317</v>
      </c>
      <c r="F9" s="207">
        <v>3705.6570000000002</v>
      </c>
      <c r="G9" s="207">
        <v>2990.2489999999998</v>
      </c>
      <c r="H9" s="207">
        <v>2682.442</v>
      </c>
      <c r="I9" s="207">
        <v>2753.9630000000002</v>
      </c>
      <c r="J9" s="207">
        <v>2882.2809999999999</v>
      </c>
      <c r="K9" s="207">
        <v>3097.9319999999998</v>
      </c>
      <c r="L9" s="207">
        <v>3324.1860000000001</v>
      </c>
      <c r="M9" s="208">
        <v>3237.299</v>
      </c>
      <c r="N9" s="236"/>
      <c r="O9" s="725"/>
      <c r="P9" s="214"/>
      <c r="Q9" s="206"/>
      <c r="R9" s="230" t="s">
        <v>151</v>
      </c>
      <c r="S9" s="246">
        <v>7279.9440000000004</v>
      </c>
      <c r="T9" s="246">
        <v>5725.3230000000003</v>
      </c>
      <c r="U9" s="246">
        <v>4175.3289999999997</v>
      </c>
      <c r="V9" s="246">
        <v>3362.0459999999998</v>
      </c>
      <c r="W9" s="246">
        <v>3277.3809999999999</v>
      </c>
      <c r="X9" s="246">
        <v>3459.203</v>
      </c>
      <c r="Y9" s="246">
        <v>3844.1689999999999</v>
      </c>
      <c r="Z9" s="246">
        <v>4163.8940000000002</v>
      </c>
      <c r="AA9" s="247">
        <v>4158.1059999999998</v>
      </c>
    </row>
    <row r="10" spans="1:28">
      <c r="A10" s="741"/>
      <c r="B10" s="241"/>
      <c r="C10" s="241"/>
      <c r="D10" s="206" t="s">
        <v>540</v>
      </c>
      <c r="E10" s="207">
        <v>23097.47</v>
      </c>
      <c r="F10" s="207">
        <v>22262.21</v>
      </c>
      <c r="G10" s="207">
        <v>20718.330000000002</v>
      </c>
      <c r="H10" s="207">
        <v>18146.009999999998</v>
      </c>
      <c r="I10" s="207">
        <v>35702.6</v>
      </c>
      <c r="J10" s="207">
        <v>28871.13</v>
      </c>
      <c r="K10" s="207">
        <v>27194.97</v>
      </c>
      <c r="L10" s="207">
        <v>30714.99</v>
      </c>
      <c r="M10" s="208">
        <v>36523.07</v>
      </c>
      <c r="N10" s="236"/>
      <c r="O10" s="725"/>
      <c r="P10" s="214"/>
      <c r="Q10" s="206"/>
      <c r="R10" s="230" t="s">
        <v>540</v>
      </c>
      <c r="S10" s="246">
        <v>23097.47</v>
      </c>
      <c r="T10" s="246">
        <v>22262.21</v>
      </c>
      <c r="U10" s="246">
        <v>20718.330000000002</v>
      </c>
      <c r="V10" s="246">
        <v>18146.009999999998</v>
      </c>
      <c r="W10" s="246">
        <v>35702.6</v>
      </c>
      <c r="X10" s="246">
        <v>28871.13</v>
      </c>
      <c r="Y10" s="246">
        <v>27194.97</v>
      </c>
      <c r="Z10" s="246">
        <v>30714.99</v>
      </c>
      <c r="AA10" s="247">
        <v>36523.07</v>
      </c>
    </row>
    <row r="11" spans="1:28">
      <c r="A11" s="741"/>
      <c r="B11" s="241"/>
      <c r="C11" s="241"/>
      <c r="D11" s="206" t="s">
        <v>541</v>
      </c>
      <c r="E11" s="207">
        <v>5740.21</v>
      </c>
      <c r="F11" s="207">
        <v>5139.6239999999998</v>
      </c>
      <c r="G11" s="207">
        <v>4443.5129999999999</v>
      </c>
      <c r="H11" s="207">
        <v>4300.9809999999998</v>
      </c>
      <c r="I11" s="207">
        <v>4483.7030000000004</v>
      </c>
      <c r="J11" s="207">
        <v>4700.7910000000002</v>
      </c>
      <c r="K11" s="207">
        <v>4928.21</v>
      </c>
      <c r="L11" s="207">
        <v>5297.5780000000004</v>
      </c>
      <c r="M11" s="208">
        <v>5219.8760000000002</v>
      </c>
      <c r="N11" s="236"/>
      <c r="O11" s="725"/>
      <c r="P11" s="214"/>
      <c r="Q11" s="206"/>
      <c r="R11" s="230" t="s">
        <v>541</v>
      </c>
      <c r="S11" s="246">
        <v>8228.7790000000005</v>
      </c>
      <c r="T11" s="246">
        <v>7196.9129999999996</v>
      </c>
      <c r="U11" s="246">
        <v>6114.6319999999996</v>
      </c>
      <c r="V11" s="246">
        <v>5404.4560000000001</v>
      </c>
      <c r="W11" s="246">
        <v>5365.6319999999996</v>
      </c>
      <c r="X11" s="246">
        <v>5713.116</v>
      </c>
      <c r="Y11" s="246">
        <v>6086.8649999999998</v>
      </c>
      <c r="Z11" s="246">
        <v>6456.7349999999997</v>
      </c>
      <c r="AA11" s="247">
        <v>6544.5320000000002</v>
      </c>
    </row>
    <row r="12" spans="1:28">
      <c r="A12" s="741"/>
      <c r="B12" s="241"/>
      <c r="C12" s="241"/>
      <c r="D12" s="206" t="s">
        <v>542</v>
      </c>
      <c r="E12" s="207">
        <v>3981.1350000000002</v>
      </c>
      <c r="F12" s="207">
        <v>3157.6149999999998</v>
      </c>
      <c r="G12" s="207">
        <v>2492.1909999999998</v>
      </c>
      <c r="H12" s="207">
        <v>2115.46</v>
      </c>
      <c r="I12" s="207">
        <v>2176.4079999999999</v>
      </c>
      <c r="J12" s="207">
        <v>2410.2979999999998</v>
      </c>
      <c r="K12" s="207">
        <v>2497.8490000000002</v>
      </c>
      <c r="L12" s="207">
        <v>2774.3339999999998</v>
      </c>
      <c r="M12" s="208">
        <v>2754.893</v>
      </c>
      <c r="N12" s="236"/>
      <c r="O12" s="725"/>
      <c r="P12" s="214"/>
      <c r="Q12" s="206"/>
      <c r="R12" s="230" t="s">
        <v>542</v>
      </c>
      <c r="S12" s="246">
        <v>6259.0110000000004</v>
      </c>
      <c r="T12" s="246">
        <v>5402.8019999999997</v>
      </c>
      <c r="U12" s="246">
        <v>3727.8310000000001</v>
      </c>
      <c r="V12" s="246">
        <v>2749.5569999999998</v>
      </c>
      <c r="W12" s="246">
        <v>2594.83</v>
      </c>
      <c r="X12" s="246">
        <v>2898.0909999999999</v>
      </c>
      <c r="Y12" s="246">
        <v>3356.2440000000001</v>
      </c>
      <c r="Z12" s="246">
        <v>3837.5439999999999</v>
      </c>
      <c r="AA12" s="247">
        <v>3860.6709999999998</v>
      </c>
    </row>
    <row r="13" spans="1:28">
      <c r="A13" s="741"/>
      <c r="B13" s="241"/>
      <c r="C13" s="241"/>
      <c r="D13" s="206" t="s">
        <v>543</v>
      </c>
      <c r="E13" s="207">
        <v>2908.14</v>
      </c>
      <c r="F13" s="207">
        <v>1448.0029999999999</v>
      </c>
      <c r="G13" s="207">
        <v>456.721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8">
        <v>0</v>
      </c>
      <c r="N13" s="236"/>
      <c r="O13" s="725"/>
      <c r="P13" s="214"/>
      <c r="Q13" s="206"/>
      <c r="R13" s="230" t="s">
        <v>543</v>
      </c>
      <c r="S13" s="246">
        <v>5274.2709999999997</v>
      </c>
      <c r="T13" s="246">
        <v>3468.826</v>
      </c>
      <c r="U13" s="246">
        <v>1043.4349999999999</v>
      </c>
      <c r="V13" s="246">
        <v>61.896439999999998</v>
      </c>
      <c r="W13" s="246">
        <v>0</v>
      </c>
      <c r="X13" s="246">
        <v>0</v>
      </c>
      <c r="Y13" s="246">
        <v>0</v>
      </c>
      <c r="Z13" s="246">
        <v>0</v>
      </c>
      <c r="AA13" s="247">
        <v>0</v>
      </c>
    </row>
    <row r="14" spans="1:28">
      <c r="A14" s="742"/>
      <c r="B14" s="248"/>
      <c r="C14" s="248"/>
      <c r="D14" s="249" t="s">
        <v>544</v>
      </c>
      <c r="E14" s="250">
        <v>1971.77</v>
      </c>
      <c r="F14" s="250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0</v>
      </c>
      <c r="M14" s="251">
        <v>0</v>
      </c>
      <c r="N14" s="236"/>
      <c r="O14" s="726"/>
      <c r="P14" s="252"/>
      <c r="Q14" s="249"/>
      <c r="R14" s="253" t="s">
        <v>544</v>
      </c>
      <c r="S14" s="254">
        <v>4630.9530000000004</v>
      </c>
      <c r="T14" s="254">
        <v>0</v>
      </c>
      <c r="U14" s="254">
        <v>0</v>
      </c>
      <c r="V14" s="254">
        <v>0</v>
      </c>
      <c r="W14" s="254">
        <v>0</v>
      </c>
      <c r="X14" s="254">
        <v>0</v>
      </c>
      <c r="Y14" s="254">
        <v>0</v>
      </c>
      <c r="Z14" s="254">
        <v>0</v>
      </c>
      <c r="AA14" s="255">
        <v>0</v>
      </c>
    </row>
    <row r="15" spans="1:28">
      <c r="A15" s="740" t="s">
        <v>166</v>
      </c>
      <c r="B15" s="241">
        <v>3883</v>
      </c>
      <c r="C15" s="242">
        <f>B15/5177</f>
        <v>0.75004829051574273</v>
      </c>
      <c r="D15" s="206" t="s">
        <v>50</v>
      </c>
      <c r="E15" s="207">
        <v>837978</v>
      </c>
      <c r="F15" s="207">
        <v>1651672</v>
      </c>
      <c r="G15" s="207">
        <v>2753719</v>
      </c>
      <c r="H15" s="207">
        <v>4067808</v>
      </c>
      <c r="I15" s="207">
        <v>5181395</v>
      </c>
      <c r="J15" s="207">
        <v>5806208</v>
      </c>
      <c r="K15" s="207">
        <v>6304499</v>
      </c>
      <c r="L15" s="207">
        <v>6612767</v>
      </c>
      <c r="M15" s="208">
        <v>6710679</v>
      </c>
      <c r="N15" s="236"/>
      <c r="O15" s="728" t="s">
        <v>545</v>
      </c>
      <c r="P15" s="214">
        <v>4660</v>
      </c>
      <c r="Q15" s="243">
        <v>0.9</v>
      </c>
      <c r="R15" s="230" t="s">
        <v>50</v>
      </c>
      <c r="S15" s="246">
        <v>3281976</v>
      </c>
      <c r="T15" s="246">
        <v>3486800</v>
      </c>
      <c r="U15" s="246">
        <v>4464456</v>
      </c>
      <c r="V15" s="246">
        <v>5800709</v>
      </c>
      <c r="W15" s="246">
        <v>7050618</v>
      </c>
      <c r="X15" s="246">
        <v>7747472</v>
      </c>
      <c r="Y15" s="246">
        <v>8325787</v>
      </c>
      <c r="Z15" s="246">
        <v>8761530</v>
      </c>
      <c r="AA15" s="247">
        <v>8750003</v>
      </c>
    </row>
    <row r="16" spans="1:28">
      <c r="A16" s="741"/>
      <c r="B16" s="206"/>
      <c r="C16" s="206"/>
      <c r="D16" s="206" t="s">
        <v>151</v>
      </c>
      <c r="E16" s="207">
        <v>215.80680000000001</v>
      </c>
      <c r="F16" s="207">
        <v>425.35969999999998</v>
      </c>
      <c r="G16" s="207">
        <v>709.173</v>
      </c>
      <c r="H16" s="207">
        <v>1047.5940000000001</v>
      </c>
      <c r="I16" s="207">
        <v>1334.3789999999999</v>
      </c>
      <c r="J16" s="207">
        <v>1495.289</v>
      </c>
      <c r="K16" s="207">
        <v>1623.615</v>
      </c>
      <c r="L16" s="207">
        <v>1703.0050000000001</v>
      </c>
      <c r="M16" s="208">
        <v>1728.22</v>
      </c>
      <c r="N16" s="236"/>
      <c r="O16" s="728"/>
      <c r="P16" s="214"/>
      <c r="Q16" s="206"/>
      <c r="R16" s="230" t="s">
        <v>151</v>
      </c>
      <c r="S16" s="246">
        <v>704.28660000000002</v>
      </c>
      <c r="T16" s="246">
        <v>748.24030000000005</v>
      </c>
      <c r="U16" s="246">
        <v>958.03769999999997</v>
      </c>
      <c r="V16" s="246">
        <v>1244.787</v>
      </c>
      <c r="W16" s="246">
        <v>1513.008</v>
      </c>
      <c r="X16" s="246">
        <v>1662.548</v>
      </c>
      <c r="Y16" s="246">
        <v>1786.6489999999999</v>
      </c>
      <c r="Z16" s="246">
        <v>1880.1569999999999</v>
      </c>
      <c r="AA16" s="247">
        <v>1877.683</v>
      </c>
    </row>
    <row r="17" spans="1:27">
      <c r="A17" s="741"/>
      <c r="B17" s="241"/>
      <c r="C17" s="241"/>
      <c r="D17" s="206" t="s">
        <v>540</v>
      </c>
      <c r="E17" s="207">
        <v>1964.85</v>
      </c>
      <c r="F17" s="207">
        <v>15429.44</v>
      </c>
      <c r="G17" s="207">
        <v>12488.14</v>
      </c>
      <c r="H17" s="207">
        <v>22159.69</v>
      </c>
      <c r="I17" s="207">
        <v>27744.54</v>
      </c>
      <c r="J17" s="207">
        <v>37401.919999999998</v>
      </c>
      <c r="K17" s="207">
        <v>24448.6</v>
      </c>
      <c r="L17" s="207">
        <v>26858.43</v>
      </c>
      <c r="M17" s="208">
        <v>25423.67</v>
      </c>
      <c r="N17" s="236"/>
      <c r="O17" s="728"/>
      <c r="P17" s="214"/>
      <c r="Q17" s="206"/>
      <c r="R17" s="230" t="s">
        <v>540</v>
      </c>
      <c r="S17" s="246">
        <v>4622.8320000000003</v>
      </c>
      <c r="T17" s="246">
        <v>15429.44</v>
      </c>
      <c r="U17" s="246">
        <v>13386.28</v>
      </c>
      <c r="V17" s="246">
        <v>22159.69</v>
      </c>
      <c r="W17" s="246">
        <v>27744.54</v>
      </c>
      <c r="X17" s="246">
        <v>37401.919999999998</v>
      </c>
      <c r="Y17" s="246">
        <v>24448.6</v>
      </c>
      <c r="Z17" s="246">
        <v>26858.43</v>
      </c>
      <c r="AA17" s="247">
        <v>25423.67</v>
      </c>
    </row>
    <row r="18" spans="1:27">
      <c r="A18" s="741"/>
      <c r="B18" s="241"/>
      <c r="C18" s="241"/>
      <c r="D18" s="206" t="s">
        <v>541</v>
      </c>
      <c r="E18" s="207">
        <v>0</v>
      </c>
      <c r="F18" s="207">
        <v>162.2114</v>
      </c>
      <c r="G18" s="207">
        <v>780.23659999999995</v>
      </c>
      <c r="H18" s="207">
        <v>1390.3219999999999</v>
      </c>
      <c r="I18" s="207">
        <v>2126.1</v>
      </c>
      <c r="J18" s="207">
        <v>2485.3760000000002</v>
      </c>
      <c r="K18" s="207">
        <v>2813.5929999999998</v>
      </c>
      <c r="L18" s="207">
        <v>2897.39</v>
      </c>
      <c r="M18" s="208">
        <v>2965.462</v>
      </c>
      <c r="N18" s="236"/>
      <c r="O18" s="728"/>
      <c r="P18" s="214"/>
      <c r="Q18" s="206"/>
      <c r="R18" s="230" t="s">
        <v>541</v>
      </c>
      <c r="S18" s="246">
        <v>1012.58</v>
      </c>
      <c r="T18" s="246">
        <v>936.38109999999995</v>
      </c>
      <c r="U18" s="246">
        <v>1463.221</v>
      </c>
      <c r="V18" s="246">
        <v>1943.463</v>
      </c>
      <c r="W18" s="246">
        <v>2578.1559999999999</v>
      </c>
      <c r="X18" s="246">
        <v>2919.2629999999999</v>
      </c>
      <c r="Y18" s="246">
        <v>3175.58</v>
      </c>
      <c r="Z18" s="246">
        <v>3291.8090000000002</v>
      </c>
      <c r="AA18" s="247">
        <v>3359.1019999999999</v>
      </c>
    </row>
    <row r="19" spans="1:27">
      <c r="A19" s="741"/>
      <c r="B19" s="241"/>
      <c r="C19" s="241"/>
      <c r="D19" s="206" t="s">
        <v>542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8">
        <v>0</v>
      </c>
      <c r="N19" s="236"/>
      <c r="O19" s="728"/>
      <c r="P19" s="214"/>
      <c r="Q19" s="206"/>
      <c r="R19" s="230" t="s">
        <v>542</v>
      </c>
      <c r="S19" s="246">
        <v>0</v>
      </c>
      <c r="T19" s="246">
        <v>0</v>
      </c>
      <c r="U19" s="246">
        <v>0</v>
      </c>
      <c r="V19" s="246">
        <v>0</v>
      </c>
      <c r="W19" s="246">
        <v>80.748909999999995</v>
      </c>
      <c r="X19" s="246">
        <v>60.142960000000002</v>
      </c>
      <c r="Y19" s="246">
        <v>139.09989999999999</v>
      </c>
      <c r="Z19" s="246">
        <v>134.5676</v>
      </c>
      <c r="AA19" s="247">
        <v>65.342179999999999</v>
      </c>
    </row>
    <row r="20" spans="1:27">
      <c r="A20" s="741"/>
      <c r="B20" s="241"/>
      <c r="C20" s="241"/>
      <c r="D20" s="206" t="s">
        <v>543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8">
        <v>0</v>
      </c>
      <c r="N20" s="236"/>
      <c r="O20" s="728"/>
      <c r="P20" s="214"/>
      <c r="Q20" s="206"/>
      <c r="R20" s="230" t="s">
        <v>543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>
        <v>0</v>
      </c>
    </row>
    <row r="21" spans="1:27">
      <c r="A21" s="742"/>
      <c r="B21" s="248"/>
      <c r="C21" s="248"/>
      <c r="D21" s="249" t="s">
        <v>544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1">
        <v>0</v>
      </c>
      <c r="N21" s="236"/>
      <c r="O21" s="728"/>
      <c r="P21" s="214"/>
      <c r="Q21" s="206"/>
      <c r="R21" s="253" t="s">
        <v>544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7">
        <v>0</v>
      </c>
    </row>
    <row r="22" spans="1:27">
      <c r="A22" s="743" t="s">
        <v>267</v>
      </c>
      <c r="B22" s="256">
        <v>5177</v>
      </c>
      <c r="C22" s="257">
        <v>1</v>
      </c>
      <c r="D22" s="206" t="s">
        <v>50</v>
      </c>
      <c r="E22" s="207">
        <v>7045707</v>
      </c>
      <c r="F22" s="207">
        <v>6446792</v>
      </c>
      <c r="G22" s="207">
        <v>6623101</v>
      </c>
      <c r="H22" s="207">
        <v>7538887</v>
      </c>
      <c r="I22" s="207">
        <v>8745024</v>
      </c>
      <c r="J22" s="207">
        <v>9535880</v>
      </c>
      <c r="K22" s="207">
        <v>10300000</v>
      </c>
      <c r="L22" s="207">
        <v>10900000</v>
      </c>
      <c r="M22" s="208">
        <v>10900000</v>
      </c>
      <c r="N22" s="236"/>
      <c r="O22" s="727" t="s">
        <v>267</v>
      </c>
      <c r="P22" s="258">
        <v>5177</v>
      </c>
      <c r="Q22" s="259"/>
      <c r="R22" s="230" t="s">
        <v>50</v>
      </c>
      <c r="S22" s="244">
        <v>7045707</v>
      </c>
      <c r="T22" s="244">
        <v>6446792</v>
      </c>
      <c r="U22" s="244">
        <v>6623101</v>
      </c>
      <c r="V22" s="244">
        <v>7538887</v>
      </c>
      <c r="W22" s="244">
        <v>8745024</v>
      </c>
      <c r="X22" s="244">
        <v>9535880</v>
      </c>
      <c r="Y22" s="244">
        <v>10300000</v>
      </c>
      <c r="Z22" s="244">
        <v>10900000</v>
      </c>
      <c r="AA22" s="245">
        <v>10900000</v>
      </c>
    </row>
    <row r="23" spans="1:27">
      <c r="A23" s="744"/>
      <c r="B23" s="206"/>
      <c r="C23" s="206"/>
      <c r="D23" s="206" t="s">
        <v>151</v>
      </c>
      <c r="E23" s="207">
        <v>1360.963</v>
      </c>
      <c r="F23" s="207">
        <v>1245.2760000000001</v>
      </c>
      <c r="G23" s="207">
        <v>1279.3320000000001</v>
      </c>
      <c r="H23" s="207">
        <v>1456.2270000000001</v>
      </c>
      <c r="I23" s="207">
        <v>1689.2070000000001</v>
      </c>
      <c r="J23" s="207">
        <v>1841.97</v>
      </c>
      <c r="K23" s="207">
        <v>1992.123</v>
      </c>
      <c r="L23" s="207">
        <v>2108.2220000000002</v>
      </c>
      <c r="M23" s="208">
        <v>2105.4169999999999</v>
      </c>
      <c r="N23" s="236"/>
      <c r="O23" s="728"/>
      <c r="P23" s="214"/>
      <c r="Q23" s="206"/>
      <c r="R23" s="230" t="s">
        <v>151</v>
      </c>
      <c r="S23" s="246">
        <v>1360.963</v>
      </c>
      <c r="T23" s="246">
        <v>1245.2760000000001</v>
      </c>
      <c r="U23" s="246">
        <v>1279.3320000000001</v>
      </c>
      <c r="V23" s="246">
        <v>1456.2270000000001</v>
      </c>
      <c r="W23" s="246">
        <v>1689.2070000000001</v>
      </c>
      <c r="X23" s="246">
        <v>1841.97</v>
      </c>
      <c r="Y23" s="246">
        <v>1992.123</v>
      </c>
      <c r="Z23" s="246">
        <v>2108.2220000000002</v>
      </c>
      <c r="AA23" s="247">
        <v>2105.4169999999999</v>
      </c>
    </row>
    <row r="24" spans="1:27">
      <c r="A24" s="744"/>
      <c r="B24" s="256"/>
      <c r="C24" s="256"/>
      <c r="D24" s="206" t="s">
        <v>540</v>
      </c>
      <c r="E24" s="207">
        <v>23097.47</v>
      </c>
      <c r="F24" s="207">
        <v>22262.21</v>
      </c>
      <c r="G24" s="207">
        <v>20718.330000000002</v>
      </c>
      <c r="H24" s="207">
        <v>22159.69</v>
      </c>
      <c r="I24" s="207">
        <v>35702.6</v>
      </c>
      <c r="J24" s="207">
        <v>37401.919999999998</v>
      </c>
      <c r="K24" s="207">
        <v>27194.97</v>
      </c>
      <c r="L24" s="207">
        <v>30714.99</v>
      </c>
      <c r="M24" s="208">
        <v>36523.07</v>
      </c>
      <c r="N24" s="236"/>
      <c r="O24" s="728"/>
      <c r="P24" s="214"/>
      <c r="Q24" s="206"/>
      <c r="R24" s="230" t="s">
        <v>540</v>
      </c>
      <c r="S24" s="246">
        <v>23097.47</v>
      </c>
      <c r="T24" s="246">
        <v>22262.21</v>
      </c>
      <c r="U24" s="246">
        <v>20718.330000000002</v>
      </c>
      <c r="V24" s="246">
        <v>22159.69</v>
      </c>
      <c r="W24" s="246">
        <v>35702.6</v>
      </c>
      <c r="X24" s="246">
        <v>37401.919999999998</v>
      </c>
      <c r="Y24" s="246">
        <v>27194.97</v>
      </c>
      <c r="Z24" s="246">
        <v>30714.99</v>
      </c>
      <c r="AA24" s="247">
        <v>36523.07</v>
      </c>
    </row>
    <row r="25" spans="1:27">
      <c r="A25" s="744"/>
      <c r="B25" s="256"/>
      <c r="C25" s="256"/>
      <c r="D25" s="206" t="s">
        <v>541</v>
      </c>
      <c r="E25" s="207">
        <v>1964.85</v>
      </c>
      <c r="F25" s="207">
        <v>1711.7460000000001</v>
      </c>
      <c r="G25" s="207">
        <v>1949.7380000000001</v>
      </c>
      <c r="H25" s="207">
        <v>2360.6019999999999</v>
      </c>
      <c r="I25" s="207">
        <v>2898.3330000000001</v>
      </c>
      <c r="J25" s="207">
        <v>3231.5349999999999</v>
      </c>
      <c r="K25" s="207">
        <v>3514.22</v>
      </c>
      <c r="L25" s="207">
        <v>3658.0830000000001</v>
      </c>
      <c r="M25" s="208">
        <v>3746.2820000000002</v>
      </c>
      <c r="N25" s="236"/>
      <c r="O25" s="728"/>
      <c r="P25" s="214"/>
      <c r="Q25" s="206"/>
      <c r="R25" s="230" t="s">
        <v>541</v>
      </c>
      <c r="S25" s="246">
        <v>1964.85</v>
      </c>
      <c r="T25" s="246">
        <v>1711.7460000000001</v>
      </c>
      <c r="U25" s="246">
        <v>1949.7380000000001</v>
      </c>
      <c r="V25" s="246">
        <v>2360.6019999999999</v>
      </c>
      <c r="W25" s="246">
        <v>2898.3330000000001</v>
      </c>
      <c r="X25" s="246">
        <v>3231.5349999999999</v>
      </c>
      <c r="Y25" s="246">
        <v>3514.22</v>
      </c>
      <c r="Z25" s="246">
        <v>3658.0830000000001</v>
      </c>
      <c r="AA25" s="247">
        <v>3746.2820000000002</v>
      </c>
    </row>
    <row r="26" spans="1:27">
      <c r="A26" s="744"/>
      <c r="B26" s="256"/>
      <c r="C26" s="256"/>
      <c r="D26" s="206" t="s">
        <v>542</v>
      </c>
      <c r="E26" s="207">
        <v>0</v>
      </c>
      <c r="F26" s="207">
        <v>0</v>
      </c>
      <c r="G26" s="207">
        <v>0</v>
      </c>
      <c r="H26" s="207">
        <v>19.433350000000001</v>
      </c>
      <c r="I26" s="207">
        <v>216.87010000000001</v>
      </c>
      <c r="J26" s="207">
        <v>201.57429999999999</v>
      </c>
      <c r="K26" s="207">
        <v>316.49680000000001</v>
      </c>
      <c r="L26" s="207">
        <v>343.97280000000001</v>
      </c>
      <c r="M26" s="208">
        <v>257.59750000000003</v>
      </c>
      <c r="N26" s="236"/>
      <c r="O26" s="728"/>
      <c r="P26" s="214"/>
      <c r="Q26" s="206"/>
      <c r="R26" s="230" t="s">
        <v>542</v>
      </c>
      <c r="S26" s="246">
        <v>0</v>
      </c>
      <c r="T26" s="246">
        <v>0</v>
      </c>
      <c r="U26" s="246">
        <v>0</v>
      </c>
      <c r="V26" s="246">
        <v>19.433350000000001</v>
      </c>
      <c r="W26" s="246">
        <v>216.87010000000001</v>
      </c>
      <c r="X26" s="246">
        <v>201.57429999999999</v>
      </c>
      <c r="Y26" s="246">
        <v>316.49680000000001</v>
      </c>
      <c r="Z26" s="246">
        <v>343.97280000000001</v>
      </c>
      <c r="AA26" s="247">
        <v>257.59750000000003</v>
      </c>
    </row>
    <row r="27" spans="1:27">
      <c r="A27" s="744"/>
      <c r="B27" s="256"/>
      <c r="C27" s="256"/>
      <c r="D27" s="206" t="s">
        <v>543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8">
        <v>0</v>
      </c>
      <c r="N27" s="236"/>
      <c r="O27" s="728"/>
      <c r="P27" s="214"/>
      <c r="Q27" s="206"/>
      <c r="R27" s="230" t="s">
        <v>543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7">
        <v>0</v>
      </c>
    </row>
    <row r="28" spans="1:27" ht="15.75" thickBot="1">
      <c r="A28" s="745"/>
      <c r="B28" s="260"/>
      <c r="C28" s="260"/>
      <c r="D28" s="261" t="s">
        <v>544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3">
        <v>0</v>
      </c>
      <c r="N28" s="236"/>
      <c r="O28" s="729"/>
      <c r="P28" s="262"/>
      <c r="Q28" s="261"/>
      <c r="R28" s="263" t="s">
        <v>544</v>
      </c>
      <c r="S28" s="264">
        <v>0</v>
      </c>
      <c r="T28" s="264">
        <v>0</v>
      </c>
      <c r="U28" s="264">
        <v>0</v>
      </c>
      <c r="V28" s="264">
        <v>0</v>
      </c>
      <c r="W28" s="264">
        <v>0</v>
      </c>
      <c r="X28" s="264">
        <v>0</v>
      </c>
      <c r="Y28" s="264">
        <v>0</v>
      </c>
      <c r="Z28" s="264">
        <v>0</v>
      </c>
      <c r="AA28" s="265" t="s">
        <v>546</v>
      </c>
    </row>
    <row r="29" spans="1:27">
      <c r="A29" s="219"/>
      <c r="B29" s="256"/>
      <c r="C29" s="256"/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236"/>
      <c r="O29" s="219"/>
      <c r="P29" s="206"/>
      <c r="Q29" s="206"/>
      <c r="R29" s="206"/>
      <c r="S29" s="246"/>
      <c r="T29" s="246"/>
      <c r="U29" s="246"/>
      <c r="V29" s="246"/>
      <c r="W29" s="246"/>
      <c r="X29" s="246"/>
      <c r="Y29" s="246"/>
      <c r="Z29" s="246"/>
      <c r="AA29" s="246"/>
    </row>
    <row r="30" spans="1:27" ht="15.75" thickBot="1">
      <c r="A30" s="736" t="s">
        <v>547</v>
      </c>
      <c r="B30" s="736"/>
      <c r="C30" s="736"/>
      <c r="D30" s="736"/>
      <c r="E30" s="736"/>
      <c r="F30" s="736"/>
      <c r="G30" s="736"/>
      <c r="H30" s="198"/>
      <c r="I30" s="198"/>
      <c r="J30" s="198"/>
      <c r="K30" s="198"/>
      <c r="L30" s="198"/>
      <c r="M30" s="198"/>
      <c r="O30" s="736" t="s">
        <v>547</v>
      </c>
      <c r="P30" s="736"/>
      <c r="Q30" s="736"/>
      <c r="R30" s="736"/>
      <c r="S30" s="736"/>
      <c r="T30" s="736"/>
      <c r="U30" s="736"/>
    </row>
    <row r="31" spans="1:27">
      <c r="A31" s="543"/>
      <c r="B31" s="731" t="s">
        <v>548</v>
      </c>
      <c r="C31" s="732"/>
      <c r="D31" s="759" t="s">
        <v>166</v>
      </c>
      <c r="E31" s="760"/>
      <c r="F31" s="761" t="s">
        <v>267</v>
      </c>
      <c r="G31" s="762"/>
      <c r="H31" s="198"/>
      <c r="I31" s="198"/>
      <c r="J31" s="198"/>
      <c r="K31" s="198"/>
      <c r="L31" s="198"/>
      <c r="M31" s="198"/>
      <c r="O31" s="224"/>
      <c r="P31" s="731" t="s">
        <v>548</v>
      </c>
      <c r="Q31" s="732"/>
      <c r="R31" s="733" t="s">
        <v>166</v>
      </c>
      <c r="S31" s="733"/>
      <c r="T31" s="734" t="s">
        <v>267</v>
      </c>
      <c r="U31" s="735"/>
    </row>
    <row r="32" spans="1:27">
      <c r="A32" s="550"/>
      <c r="B32" s="217" t="s">
        <v>151</v>
      </c>
      <c r="C32" s="218" t="s">
        <v>153</v>
      </c>
      <c r="D32" s="220" t="s">
        <v>151</v>
      </c>
      <c r="E32" s="281" t="s">
        <v>153</v>
      </c>
      <c r="F32" s="219" t="s">
        <v>151</v>
      </c>
      <c r="G32" s="221" t="s">
        <v>153</v>
      </c>
      <c r="H32" s="198"/>
      <c r="I32" s="198"/>
      <c r="J32" s="198"/>
      <c r="K32" s="198"/>
      <c r="L32" s="198"/>
      <c r="M32" s="198"/>
      <c r="O32" s="225"/>
      <c r="P32" s="217" t="s">
        <v>151</v>
      </c>
      <c r="Q32" s="218" t="s">
        <v>153</v>
      </c>
      <c r="R32" s="223" t="s">
        <v>151</v>
      </c>
      <c r="S32" s="223" t="s">
        <v>153</v>
      </c>
      <c r="T32" s="217" t="s">
        <v>151</v>
      </c>
      <c r="U32" s="226" t="s">
        <v>153</v>
      </c>
    </row>
    <row r="33" spans="1:23" ht="45">
      <c r="A33" s="209" t="s">
        <v>529</v>
      </c>
      <c r="B33" s="215">
        <v>4797.317</v>
      </c>
      <c r="C33" s="279">
        <v>3981.1350000000002</v>
      </c>
      <c r="D33" s="215">
        <v>215.80680000000001</v>
      </c>
      <c r="E33" s="279">
        <v>0</v>
      </c>
      <c r="F33" s="207">
        <v>1360.963</v>
      </c>
      <c r="G33" s="208">
        <v>0</v>
      </c>
      <c r="H33" s="198"/>
      <c r="I33" s="198"/>
      <c r="J33" s="198"/>
      <c r="K33" s="198"/>
      <c r="L33" s="198"/>
      <c r="M33" s="198"/>
      <c r="O33" s="227" t="s">
        <v>529</v>
      </c>
      <c r="P33" s="282">
        <v>7279.9440000000004</v>
      </c>
      <c r="Q33" s="284">
        <v>6259.0110000000004</v>
      </c>
      <c r="R33" s="246">
        <v>704.28660000000002</v>
      </c>
      <c r="S33" s="246">
        <v>0</v>
      </c>
      <c r="T33" s="282">
        <v>1360.963</v>
      </c>
      <c r="U33" s="247">
        <v>0</v>
      </c>
    </row>
    <row r="34" spans="1:23" ht="45">
      <c r="A34" s="209" t="s">
        <v>530</v>
      </c>
      <c r="B34" s="215">
        <v>3705.6570000000002</v>
      </c>
      <c r="C34" s="279">
        <v>3157.6149999999998</v>
      </c>
      <c r="D34" s="215">
        <v>425.35969999999998</v>
      </c>
      <c r="E34" s="279">
        <v>0</v>
      </c>
      <c r="F34" s="207">
        <v>1245.2760000000001</v>
      </c>
      <c r="G34" s="208">
        <v>0</v>
      </c>
      <c r="O34" s="227" t="s">
        <v>530</v>
      </c>
      <c r="P34" s="282">
        <v>5725.3230000000003</v>
      </c>
      <c r="Q34" s="284">
        <v>5402.8019999999997</v>
      </c>
      <c r="R34" s="246">
        <v>748.24030000000005</v>
      </c>
      <c r="S34" s="246">
        <v>0</v>
      </c>
      <c r="T34" s="282">
        <v>1245.2760000000001</v>
      </c>
      <c r="U34" s="247">
        <v>0</v>
      </c>
    </row>
    <row r="35" spans="1:23" ht="45">
      <c r="A35" s="209" t="s">
        <v>531</v>
      </c>
      <c r="B35" s="215">
        <v>2990.2489999999998</v>
      </c>
      <c r="C35" s="279">
        <v>2492.1909999999998</v>
      </c>
      <c r="D35" s="215">
        <v>709.173</v>
      </c>
      <c r="E35" s="279">
        <v>0</v>
      </c>
      <c r="F35" s="207">
        <v>1279.3320000000001</v>
      </c>
      <c r="G35" s="208">
        <v>0</v>
      </c>
      <c r="O35" s="227" t="s">
        <v>531</v>
      </c>
      <c r="P35" s="282">
        <v>4175.3289999999997</v>
      </c>
      <c r="Q35" s="284">
        <v>3727.8310000000001</v>
      </c>
      <c r="R35" s="246">
        <v>958.03769999999997</v>
      </c>
      <c r="S35" s="246">
        <v>0</v>
      </c>
      <c r="T35" s="282">
        <v>1279.3320000000001</v>
      </c>
      <c r="U35" s="247">
        <v>0</v>
      </c>
    </row>
    <row r="36" spans="1:23" ht="45">
      <c r="A36" s="209" t="s">
        <v>532</v>
      </c>
      <c r="B36" s="215">
        <v>2682.442</v>
      </c>
      <c r="C36" s="279">
        <v>2115.46</v>
      </c>
      <c r="D36" s="215">
        <v>1047.5940000000001</v>
      </c>
      <c r="E36" s="279">
        <v>0</v>
      </c>
      <c r="F36" s="207">
        <v>1456.2270000000001</v>
      </c>
      <c r="G36" s="208">
        <v>19.433350000000001</v>
      </c>
      <c r="O36" s="227" t="s">
        <v>532</v>
      </c>
      <c r="P36" s="282">
        <v>3362.0459999999998</v>
      </c>
      <c r="Q36" s="284">
        <v>2749.5569999999998</v>
      </c>
      <c r="R36" s="246">
        <v>1244.787</v>
      </c>
      <c r="S36" s="246">
        <v>0</v>
      </c>
      <c r="T36" s="282">
        <v>1456.2270000000001</v>
      </c>
      <c r="U36" s="247">
        <v>19.433350000000001</v>
      </c>
    </row>
    <row r="37" spans="1:23" ht="27.75" customHeight="1">
      <c r="A37" s="210" t="s">
        <v>533</v>
      </c>
      <c r="B37" s="215">
        <v>2753.9630000000002</v>
      </c>
      <c r="C37" s="279">
        <v>2176.4079999999999</v>
      </c>
      <c r="D37" s="215">
        <v>1334.3789999999999</v>
      </c>
      <c r="E37" s="279">
        <v>0</v>
      </c>
      <c r="F37" s="207">
        <v>1689.2070000000001</v>
      </c>
      <c r="G37" s="208">
        <v>216.87010000000001</v>
      </c>
      <c r="O37" s="228" t="s">
        <v>533</v>
      </c>
      <c r="P37" s="282">
        <v>3277.3809999999999</v>
      </c>
      <c r="Q37" s="284">
        <v>2594.83</v>
      </c>
      <c r="R37" s="246">
        <v>1513.008</v>
      </c>
      <c r="S37" s="246">
        <v>80.748909999999995</v>
      </c>
      <c r="T37" s="282">
        <v>1689.2070000000001</v>
      </c>
      <c r="U37" s="247">
        <v>216.87010000000001</v>
      </c>
    </row>
    <row r="38" spans="1:23" ht="30">
      <c r="A38" s="209" t="s">
        <v>534</v>
      </c>
      <c r="B38" s="215">
        <v>2882.2809999999999</v>
      </c>
      <c r="C38" s="279">
        <v>2410.2979999999998</v>
      </c>
      <c r="D38" s="215">
        <v>1495.289</v>
      </c>
      <c r="E38" s="279">
        <v>0</v>
      </c>
      <c r="F38" s="207">
        <v>1841.97</v>
      </c>
      <c r="G38" s="208">
        <v>201.57429999999999</v>
      </c>
      <c r="O38" s="227" t="s">
        <v>534</v>
      </c>
      <c r="P38" s="282">
        <v>3459.203</v>
      </c>
      <c r="Q38" s="284">
        <v>2898.0909999999999</v>
      </c>
      <c r="R38" s="246">
        <v>1662.548</v>
      </c>
      <c r="S38" s="246">
        <v>60.142960000000002</v>
      </c>
      <c r="T38" s="282">
        <v>1841.97</v>
      </c>
      <c r="U38" s="247">
        <v>201.57429999999999</v>
      </c>
    </row>
    <row r="39" spans="1:23" ht="30">
      <c r="A39" s="209" t="s">
        <v>535</v>
      </c>
      <c r="B39" s="215">
        <v>3097.9319999999998</v>
      </c>
      <c r="C39" s="279">
        <v>2497.8490000000002</v>
      </c>
      <c r="D39" s="215">
        <v>1623.615</v>
      </c>
      <c r="E39" s="279">
        <v>0</v>
      </c>
      <c r="F39" s="207">
        <v>1992.123</v>
      </c>
      <c r="G39" s="208">
        <v>316.49680000000001</v>
      </c>
      <c r="O39" s="227" t="s">
        <v>535</v>
      </c>
      <c r="P39" s="282">
        <v>3844.1689999999999</v>
      </c>
      <c r="Q39" s="284">
        <v>3356.2440000000001</v>
      </c>
      <c r="R39" s="246">
        <v>1786.6489999999999</v>
      </c>
      <c r="S39" s="246">
        <v>139.09989999999999</v>
      </c>
      <c r="T39" s="282">
        <v>1992.123</v>
      </c>
      <c r="U39" s="247">
        <v>316.49680000000001</v>
      </c>
    </row>
    <row r="40" spans="1:23" ht="30">
      <c r="A40" s="209" t="s">
        <v>536</v>
      </c>
      <c r="B40" s="215">
        <v>3324.1860000000001</v>
      </c>
      <c r="C40" s="279">
        <v>2774.3339999999998</v>
      </c>
      <c r="D40" s="207">
        <v>1703.0050000000001</v>
      </c>
      <c r="E40" s="207">
        <v>0</v>
      </c>
      <c r="F40" s="215">
        <v>2108.2220000000002</v>
      </c>
      <c r="G40" s="208">
        <v>343.97280000000001</v>
      </c>
      <c r="O40" s="227" t="s">
        <v>536</v>
      </c>
      <c r="P40" s="282">
        <v>4163.8940000000002</v>
      </c>
      <c r="Q40" s="284">
        <v>3837.5439999999999</v>
      </c>
      <c r="R40" s="246">
        <v>1880.1569999999999</v>
      </c>
      <c r="S40" s="246">
        <v>134.5676</v>
      </c>
      <c r="T40" s="282">
        <v>2108.2220000000002</v>
      </c>
      <c r="U40" s="247">
        <v>343.97280000000001</v>
      </c>
    </row>
    <row r="41" spans="1:23" ht="30.75" thickBot="1">
      <c r="A41" s="211" t="s">
        <v>537</v>
      </c>
      <c r="B41" s="216">
        <v>3237.299</v>
      </c>
      <c r="C41" s="280">
        <v>2754.893</v>
      </c>
      <c r="D41" s="212">
        <v>1728.22</v>
      </c>
      <c r="E41" s="212">
        <v>0</v>
      </c>
      <c r="F41" s="216">
        <v>2105.4169999999999</v>
      </c>
      <c r="G41" s="213">
        <v>257.59750000000003</v>
      </c>
      <c r="O41" s="229" t="s">
        <v>537</v>
      </c>
      <c r="P41" s="283">
        <v>4158.1059999999998</v>
      </c>
      <c r="Q41" s="285">
        <v>3860.6709999999998</v>
      </c>
      <c r="R41" s="264">
        <v>1877.683</v>
      </c>
      <c r="S41" s="264">
        <v>65.342179999999999</v>
      </c>
      <c r="T41" s="283">
        <v>2105.4169999999999</v>
      </c>
      <c r="U41" s="265">
        <v>257.59750000000003</v>
      </c>
    </row>
    <row r="44" spans="1:23" ht="15.75" thickBot="1">
      <c r="A44" s="739" t="s">
        <v>549</v>
      </c>
      <c r="B44" s="739"/>
      <c r="C44" s="739"/>
      <c r="D44" s="739"/>
      <c r="E44" s="739"/>
      <c r="F44" s="739"/>
      <c r="G44" s="739"/>
      <c r="H44" s="739"/>
      <c r="I44" s="739"/>
      <c r="N44" s="132"/>
      <c r="O44" s="736" t="s">
        <v>550</v>
      </c>
      <c r="P44" s="736"/>
      <c r="Q44" s="736"/>
      <c r="R44" s="736"/>
      <c r="S44" s="736"/>
      <c r="T44" s="736"/>
      <c r="U44" s="736"/>
      <c r="V44" s="736"/>
      <c r="W44" s="736"/>
    </row>
    <row r="45" spans="1:23" s="178" customFormat="1" ht="34.5" customHeight="1">
      <c r="A45" s="267"/>
      <c r="B45" s="266" t="s">
        <v>307</v>
      </c>
      <c r="C45" s="266" t="s">
        <v>281</v>
      </c>
      <c r="D45" s="539" t="s">
        <v>528</v>
      </c>
      <c r="E45" s="539" t="s">
        <v>551</v>
      </c>
      <c r="F45" s="539" t="s">
        <v>552</v>
      </c>
      <c r="G45" s="539" t="s">
        <v>553</v>
      </c>
      <c r="H45" s="539" t="s">
        <v>554</v>
      </c>
      <c r="I45" s="540" t="s">
        <v>555</v>
      </c>
      <c r="J45" s="268"/>
      <c r="K45" s="268"/>
      <c r="L45" s="268"/>
      <c r="M45" s="268"/>
      <c r="N45" s="268"/>
      <c r="O45" s="267"/>
      <c r="P45" s="266" t="s">
        <v>307</v>
      </c>
      <c r="Q45" s="266" t="s">
        <v>281</v>
      </c>
      <c r="R45" s="539" t="s">
        <v>528</v>
      </c>
      <c r="S45" s="539" t="s">
        <v>551</v>
      </c>
      <c r="T45" s="539" t="s">
        <v>552</v>
      </c>
      <c r="U45" s="539" t="s">
        <v>553</v>
      </c>
      <c r="V45" s="539" t="s">
        <v>554</v>
      </c>
      <c r="W45" s="540" t="s">
        <v>555</v>
      </c>
    </row>
    <row r="46" spans="1:23">
      <c r="A46" s="740" t="s">
        <v>538</v>
      </c>
      <c r="B46" s="269">
        <v>1242</v>
      </c>
      <c r="C46" s="270">
        <f>1242/5177</f>
        <v>0.239907282209774</v>
      </c>
      <c r="D46" s="259" t="s">
        <v>50</v>
      </c>
      <c r="E46" s="196">
        <v>18300000</v>
      </c>
      <c r="F46" s="196">
        <v>16200000</v>
      </c>
      <c r="G46" s="196">
        <v>17900000</v>
      </c>
      <c r="H46" s="196">
        <v>19400000</v>
      </c>
      <c r="I46" s="271">
        <v>20200000</v>
      </c>
      <c r="N46" s="132"/>
      <c r="O46" s="740" t="s">
        <v>539</v>
      </c>
      <c r="P46" s="258">
        <v>517</v>
      </c>
      <c r="Q46" s="286">
        <v>0.1</v>
      </c>
      <c r="R46" s="259" t="s">
        <v>50</v>
      </c>
      <c r="S46" s="196">
        <v>10600000</v>
      </c>
      <c r="T46" s="196">
        <v>8078317</v>
      </c>
      <c r="U46" s="196">
        <v>8983640</v>
      </c>
      <c r="V46" s="196" t="s">
        <v>556</v>
      </c>
      <c r="W46" s="271">
        <v>11900000</v>
      </c>
    </row>
    <row r="47" spans="1:23" ht="14.25" customHeight="1">
      <c r="A47" s="741"/>
      <c r="B47" s="241"/>
      <c r="C47" s="241"/>
      <c r="D47" s="206" t="s">
        <v>151</v>
      </c>
      <c r="E47" s="198">
        <v>14175.67</v>
      </c>
      <c r="F47" s="198">
        <v>12541.7</v>
      </c>
      <c r="G47" s="198">
        <v>13795.4</v>
      </c>
      <c r="H47" s="198">
        <v>14967.16</v>
      </c>
      <c r="I47" s="202">
        <v>15606.07</v>
      </c>
      <c r="N47" s="132"/>
      <c r="O47" s="741"/>
      <c r="P47" s="214"/>
      <c r="Q47" s="206"/>
      <c r="R47" s="206" t="s">
        <v>151</v>
      </c>
      <c r="S47" s="198">
        <v>20542.64</v>
      </c>
      <c r="T47" s="198">
        <v>15625.37</v>
      </c>
      <c r="U47" s="198">
        <v>17376.48</v>
      </c>
      <c r="V47" s="198" t="s">
        <v>557</v>
      </c>
      <c r="W47" s="202">
        <v>22407.46</v>
      </c>
    </row>
    <row r="48" spans="1:23">
      <c r="A48" s="741"/>
      <c r="B48" s="241"/>
      <c r="C48" s="241"/>
      <c r="D48" s="206" t="s">
        <v>540</v>
      </c>
      <c r="E48" s="198">
        <v>66318.210000000006</v>
      </c>
      <c r="F48" s="198">
        <v>112784</v>
      </c>
      <c r="G48" s="198">
        <v>131555.9</v>
      </c>
      <c r="H48" s="198">
        <v>107625.5</v>
      </c>
      <c r="I48" s="202">
        <v>87214.91</v>
      </c>
      <c r="N48" s="132"/>
      <c r="O48" s="741"/>
      <c r="P48" s="214"/>
      <c r="Q48" s="206"/>
      <c r="R48" s="206" t="s">
        <v>540</v>
      </c>
      <c r="S48" s="198">
        <v>66318.210000000006</v>
      </c>
      <c r="T48" s="198">
        <v>112784</v>
      </c>
      <c r="U48" s="198">
        <v>131555.9</v>
      </c>
      <c r="V48" s="198" t="s">
        <v>558</v>
      </c>
      <c r="W48" s="202">
        <v>103779.8</v>
      </c>
    </row>
    <row r="49" spans="1:23">
      <c r="A49" s="741"/>
      <c r="B49" s="241"/>
      <c r="C49" s="241"/>
      <c r="D49" s="206" t="s">
        <v>541</v>
      </c>
      <c r="E49" s="198">
        <v>18010.32</v>
      </c>
      <c r="F49" s="198">
        <v>19179.39</v>
      </c>
      <c r="G49" s="198">
        <v>21918.87</v>
      </c>
      <c r="H49" s="198">
        <v>23267.23</v>
      </c>
      <c r="I49" s="202">
        <v>24750.400000000001</v>
      </c>
      <c r="N49" s="132"/>
      <c r="O49" s="741"/>
      <c r="P49" s="214"/>
      <c r="Q49" s="206"/>
      <c r="R49" s="206" t="s">
        <v>541</v>
      </c>
      <c r="S49" s="198">
        <v>24616.34</v>
      </c>
      <c r="T49" s="198">
        <v>23839.96</v>
      </c>
      <c r="U49" s="198">
        <v>26850.33</v>
      </c>
      <c r="V49" s="198" t="s">
        <v>559</v>
      </c>
      <c r="W49" s="202">
        <v>32817.19</v>
      </c>
    </row>
    <row r="50" spans="1:23">
      <c r="A50" s="741"/>
      <c r="B50" s="241"/>
      <c r="C50" s="241"/>
      <c r="D50" s="206" t="s">
        <v>542</v>
      </c>
      <c r="E50" s="198">
        <v>12197</v>
      </c>
      <c r="F50" s="198">
        <v>10102.94</v>
      </c>
      <c r="G50" s="198">
        <v>11378.01</v>
      </c>
      <c r="H50" s="198">
        <v>12185.4</v>
      </c>
      <c r="I50" s="202">
        <v>12208.92</v>
      </c>
      <c r="N50" s="132"/>
      <c r="O50" s="741"/>
      <c r="P50" s="214"/>
      <c r="Q50" s="206"/>
      <c r="R50" s="206" t="s">
        <v>542</v>
      </c>
      <c r="S50" s="198">
        <v>18450.099999999999</v>
      </c>
      <c r="T50" s="198">
        <v>13399.09</v>
      </c>
      <c r="U50" s="198">
        <v>16372.09</v>
      </c>
      <c r="V50" s="198" t="s">
        <v>560</v>
      </c>
      <c r="W50" s="202">
        <v>21603.37</v>
      </c>
    </row>
    <row r="51" spans="1:23">
      <c r="A51" s="741"/>
      <c r="B51" s="241"/>
      <c r="C51" s="241"/>
      <c r="D51" s="206" t="s">
        <v>543</v>
      </c>
      <c r="E51" s="198">
        <v>8034.2219999999998</v>
      </c>
      <c r="F51" s="198">
        <v>2471.39</v>
      </c>
      <c r="G51" s="198">
        <v>1537.8879999999999</v>
      </c>
      <c r="H51" s="198">
        <v>1505.7159999999999</v>
      </c>
      <c r="I51" s="202">
        <v>315.88529999999997</v>
      </c>
      <c r="N51" s="132"/>
      <c r="O51" s="741"/>
      <c r="P51" s="214"/>
      <c r="Q51" s="206"/>
      <c r="R51" s="206" t="s">
        <v>543</v>
      </c>
      <c r="S51" s="198">
        <v>13355.24</v>
      </c>
      <c r="T51" s="198">
        <v>3059.1309999999999</v>
      </c>
      <c r="U51" s="198">
        <v>2214.4209999999998</v>
      </c>
      <c r="V51" s="198" t="s">
        <v>561</v>
      </c>
      <c r="W51" s="202">
        <v>4635.9799999999996</v>
      </c>
    </row>
    <row r="52" spans="1:23">
      <c r="A52" s="742"/>
      <c r="B52" s="248"/>
      <c r="C52" s="248"/>
      <c r="D52" s="249" t="s">
        <v>544</v>
      </c>
      <c r="E52" s="200">
        <v>1998</v>
      </c>
      <c r="F52" s="200">
        <v>0</v>
      </c>
      <c r="G52" s="200">
        <v>0</v>
      </c>
      <c r="H52" s="200">
        <v>0</v>
      </c>
      <c r="I52" s="205">
        <v>0</v>
      </c>
      <c r="N52" s="132"/>
      <c r="O52" s="742"/>
      <c r="P52" s="252"/>
      <c r="Q52" s="249"/>
      <c r="R52" s="249" t="s">
        <v>544</v>
      </c>
      <c r="S52" s="198">
        <v>4664.79</v>
      </c>
      <c r="T52" s="198">
        <v>0</v>
      </c>
      <c r="U52" s="198">
        <v>0</v>
      </c>
      <c r="V52" s="198" t="s">
        <v>562</v>
      </c>
      <c r="W52" s="202">
        <v>0</v>
      </c>
    </row>
    <row r="53" spans="1:23">
      <c r="A53" s="741" t="s">
        <v>166</v>
      </c>
      <c r="B53" s="241">
        <v>3935</v>
      </c>
      <c r="C53" s="242">
        <f>3935/5177</f>
        <v>0.76009271779022602</v>
      </c>
      <c r="D53" s="259" t="s">
        <v>50</v>
      </c>
      <c r="E53" s="198">
        <v>9311176</v>
      </c>
      <c r="F53" s="198">
        <v>25400000</v>
      </c>
      <c r="G53" s="198">
        <v>28400000</v>
      </c>
      <c r="H53" s="198">
        <v>30500000</v>
      </c>
      <c r="I53" s="202">
        <v>32500000</v>
      </c>
      <c r="N53" s="132"/>
      <c r="O53" s="741" t="s">
        <v>166</v>
      </c>
      <c r="P53" s="214">
        <v>4660</v>
      </c>
      <c r="Q53" s="243">
        <v>0.9</v>
      </c>
      <c r="R53" s="206" t="s">
        <v>50</v>
      </c>
      <c r="S53" s="196">
        <v>17000000</v>
      </c>
      <c r="T53" s="196">
        <v>33600000</v>
      </c>
      <c r="U53" s="196">
        <v>37200000</v>
      </c>
      <c r="V53" s="196">
        <v>40100000</v>
      </c>
      <c r="W53" s="271">
        <v>42600000</v>
      </c>
    </row>
    <row r="54" spans="1:23">
      <c r="A54" s="741"/>
      <c r="B54" s="206"/>
      <c r="C54" s="206"/>
      <c r="D54" s="206" t="s">
        <v>151</v>
      </c>
      <c r="E54" s="198">
        <v>2397.9340000000002</v>
      </c>
      <c r="F54" s="198">
        <v>6550.1289999999999</v>
      </c>
      <c r="G54" s="198">
        <v>7303.5280000000002</v>
      </c>
      <c r="H54" s="198">
        <v>7857.1459999999997</v>
      </c>
      <c r="I54" s="202">
        <v>8372.0920000000006</v>
      </c>
      <c r="N54" s="132"/>
      <c r="O54" s="741"/>
      <c r="P54" s="214"/>
      <c r="Q54" s="206"/>
      <c r="R54" s="206" t="s">
        <v>151</v>
      </c>
      <c r="S54" s="198">
        <v>3655.3519999999999</v>
      </c>
      <c r="T54" s="198">
        <v>7207.0370000000003</v>
      </c>
      <c r="U54" s="198">
        <v>7988.6710000000003</v>
      </c>
      <c r="V54" s="198">
        <v>8603.4050000000007</v>
      </c>
      <c r="W54" s="202">
        <v>9131.0519999999997</v>
      </c>
    </row>
    <row r="55" spans="1:23">
      <c r="A55" s="741"/>
      <c r="B55" s="241"/>
      <c r="C55" s="241"/>
      <c r="D55" s="206" t="s">
        <v>540</v>
      </c>
      <c r="E55" s="198">
        <v>38055.660000000003</v>
      </c>
      <c r="F55" s="198">
        <v>109037.3</v>
      </c>
      <c r="G55" s="198">
        <v>168605.5</v>
      </c>
      <c r="H55" s="198">
        <v>118811.4</v>
      </c>
      <c r="I55" s="202">
        <v>103779.8</v>
      </c>
      <c r="N55" s="132"/>
      <c r="O55" s="741"/>
      <c r="P55" s="214"/>
      <c r="Q55" s="206"/>
      <c r="R55" s="206" t="s">
        <v>540</v>
      </c>
      <c r="S55" s="198">
        <v>38055.660000000003</v>
      </c>
      <c r="T55" s="198">
        <v>109037.3</v>
      </c>
      <c r="U55" s="198">
        <v>168605.5</v>
      </c>
      <c r="V55" s="198">
        <v>118811.4</v>
      </c>
      <c r="W55" s="202">
        <v>103779.8</v>
      </c>
    </row>
    <row r="56" spans="1:23">
      <c r="A56" s="741"/>
      <c r="B56" s="241"/>
      <c r="C56" s="241"/>
      <c r="D56" s="206" t="s">
        <v>541</v>
      </c>
      <c r="E56" s="198">
        <v>3549.259</v>
      </c>
      <c r="F56" s="198">
        <v>10261.64</v>
      </c>
      <c r="G56" s="198">
        <v>11850.31</v>
      </c>
      <c r="H56" s="198">
        <v>12623.85</v>
      </c>
      <c r="I56" s="202">
        <v>13918.57</v>
      </c>
      <c r="N56" s="132"/>
      <c r="O56" s="741"/>
      <c r="P56" s="214"/>
      <c r="Q56" s="206"/>
      <c r="R56" s="206" t="s">
        <v>541</v>
      </c>
      <c r="S56" s="198">
        <v>5908.9279999999999</v>
      </c>
      <c r="T56" s="198">
        <v>11339.12</v>
      </c>
      <c r="U56" s="198">
        <v>13414.7</v>
      </c>
      <c r="V56" s="198">
        <v>14106.52</v>
      </c>
      <c r="W56" s="202">
        <v>15583.7</v>
      </c>
    </row>
    <row r="57" spans="1:23">
      <c r="A57" s="741"/>
      <c r="B57" s="241"/>
      <c r="C57" s="241"/>
      <c r="D57" s="206" t="s">
        <v>542</v>
      </c>
      <c r="E57" s="198">
        <v>541.59389999999996</v>
      </c>
      <c r="F57" s="198">
        <v>1998.346</v>
      </c>
      <c r="G57" s="198">
        <v>1880.4929999999999</v>
      </c>
      <c r="H57" s="198">
        <v>1574.5219999999999</v>
      </c>
      <c r="I57" s="202">
        <v>1467.6669999999999</v>
      </c>
      <c r="N57" s="132"/>
      <c r="O57" s="741"/>
      <c r="P57" s="214"/>
      <c r="Q57" s="206"/>
      <c r="R57" s="206" t="s">
        <v>542</v>
      </c>
      <c r="S57" s="198">
        <v>1417.0060000000001</v>
      </c>
      <c r="T57" s="198">
        <v>3074.5369999999998</v>
      </c>
      <c r="U57" s="198">
        <v>2934.4789999999998</v>
      </c>
      <c r="V57" s="198">
        <v>2920.4189999999999</v>
      </c>
      <c r="W57" s="202">
        <v>2588.105</v>
      </c>
    </row>
    <row r="58" spans="1:23">
      <c r="A58" s="741"/>
      <c r="B58" s="241"/>
      <c r="C58" s="241"/>
      <c r="D58" s="206" t="s">
        <v>543</v>
      </c>
      <c r="E58" s="198">
        <v>0</v>
      </c>
      <c r="F58" s="198">
        <v>0</v>
      </c>
      <c r="G58" s="198">
        <v>0</v>
      </c>
      <c r="H58" s="198">
        <v>0</v>
      </c>
      <c r="I58" s="202">
        <v>0</v>
      </c>
      <c r="N58" s="132"/>
      <c r="O58" s="741"/>
      <c r="P58" s="214"/>
      <c r="Q58" s="206"/>
      <c r="R58" s="206" t="s">
        <v>543</v>
      </c>
      <c r="S58" s="198">
        <v>0</v>
      </c>
      <c r="T58" s="198">
        <v>0</v>
      </c>
      <c r="U58" s="198">
        <v>0</v>
      </c>
      <c r="V58" s="198">
        <v>0</v>
      </c>
      <c r="W58" s="202">
        <v>0</v>
      </c>
    </row>
    <row r="59" spans="1:23" ht="15.75" thickBot="1">
      <c r="A59" s="741"/>
      <c r="B59" s="241"/>
      <c r="C59" s="241"/>
      <c r="D59" s="249" t="s">
        <v>544</v>
      </c>
      <c r="E59" s="198">
        <v>0</v>
      </c>
      <c r="F59" s="198">
        <v>0</v>
      </c>
      <c r="G59" s="198">
        <v>0</v>
      </c>
      <c r="H59" s="198">
        <v>0</v>
      </c>
      <c r="I59" s="202">
        <v>0</v>
      </c>
      <c r="N59" s="132"/>
      <c r="O59" s="741"/>
      <c r="P59" s="214"/>
      <c r="Q59" s="206"/>
      <c r="R59" s="261" t="s">
        <v>544</v>
      </c>
      <c r="S59" s="200">
        <v>0</v>
      </c>
      <c r="T59" s="200">
        <v>0</v>
      </c>
      <c r="U59" s="200">
        <v>0</v>
      </c>
      <c r="V59" s="200">
        <v>0</v>
      </c>
      <c r="W59" s="205">
        <v>0</v>
      </c>
    </row>
    <row r="60" spans="1:23">
      <c r="A60" s="743" t="s">
        <v>267</v>
      </c>
      <c r="B60" s="272">
        <v>5177</v>
      </c>
      <c r="C60" s="273">
        <v>1</v>
      </c>
      <c r="D60" s="259" t="s">
        <v>50</v>
      </c>
      <c r="E60" s="196">
        <v>27700000</v>
      </c>
      <c r="F60" s="196">
        <v>41700000</v>
      </c>
      <c r="G60" s="196">
        <v>46200000</v>
      </c>
      <c r="H60" s="196">
        <v>49900000</v>
      </c>
      <c r="I60" s="271">
        <v>52700000</v>
      </c>
      <c r="N60" s="132"/>
      <c r="O60" s="743" t="s">
        <v>267</v>
      </c>
      <c r="P60" s="258">
        <v>5177</v>
      </c>
      <c r="Q60" s="259"/>
      <c r="R60" s="206" t="s">
        <v>50</v>
      </c>
      <c r="S60" s="196">
        <v>27700000</v>
      </c>
      <c r="T60" s="196">
        <v>41700000</v>
      </c>
      <c r="U60" s="196">
        <v>46200000</v>
      </c>
      <c r="V60" s="196">
        <v>49900000</v>
      </c>
      <c r="W60" s="271">
        <v>52700000</v>
      </c>
    </row>
    <row r="61" spans="1:23">
      <c r="A61" s="744"/>
      <c r="B61" s="206"/>
      <c r="C61" s="206"/>
      <c r="D61" s="206" t="s">
        <v>151</v>
      </c>
      <c r="E61" s="198">
        <v>5341.7979999999998</v>
      </c>
      <c r="F61" s="198">
        <v>8047.732</v>
      </c>
      <c r="G61" s="198">
        <v>8926.1820000000007</v>
      </c>
      <c r="H61" s="198">
        <v>9634.3070000000007</v>
      </c>
      <c r="I61" s="202">
        <v>10180.24</v>
      </c>
      <c r="N61" s="132"/>
      <c r="O61" s="744"/>
      <c r="P61" s="214"/>
      <c r="Q61" s="206"/>
      <c r="R61" s="206" t="s">
        <v>151</v>
      </c>
      <c r="S61" s="198">
        <v>5341.7979999999998</v>
      </c>
      <c r="T61" s="198">
        <v>8047.732</v>
      </c>
      <c r="U61" s="198">
        <v>8926.1820000000007</v>
      </c>
      <c r="V61" s="198">
        <v>9634.3070000000007</v>
      </c>
      <c r="W61" s="202">
        <v>10180.24</v>
      </c>
    </row>
    <row r="62" spans="1:23">
      <c r="A62" s="744"/>
      <c r="B62" s="256"/>
      <c r="C62" s="256"/>
      <c r="D62" s="206" t="s">
        <v>540</v>
      </c>
      <c r="E62" s="198">
        <v>66318.210000000006</v>
      </c>
      <c r="F62" s="198">
        <v>112784</v>
      </c>
      <c r="G62" s="198">
        <v>168605.5</v>
      </c>
      <c r="H62" s="198">
        <v>118811.4</v>
      </c>
      <c r="I62" s="202">
        <v>103779.8</v>
      </c>
      <c r="N62" s="132"/>
      <c r="O62" s="744"/>
      <c r="P62" s="256"/>
      <c r="Q62" s="256"/>
      <c r="R62" s="206" t="s">
        <v>540</v>
      </c>
      <c r="S62" s="198">
        <v>66318.210000000006</v>
      </c>
      <c r="T62" s="198">
        <v>112784</v>
      </c>
      <c r="U62" s="198">
        <v>168605.5</v>
      </c>
      <c r="V62" s="198">
        <v>118811.4</v>
      </c>
      <c r="W62" s="202">
        <v>103779.8</v>
      </c>
    </row>
    <row r="63" spans="1:23">
      <c r="A63" s="744"/>
      <c r="B63" s="256"/>
      <c r="C63" s="256"/>
      <c r="D63" s="206" t="s">
        <v>541</v>
      </c>
      <c r="E63" s="198">
        <v>8155.1440000000002</v>
      </c>
      <c r="F63" s="198">
        <v>12907.16</v>
      </c>
      <c r="G63" s="198">
        <v>14737.77</v>
      </c>
      <c r="H63" s="198">
        <v>16014.65</v>
      </c>
      <c r="I63" s="202">
        <v>17499.060000000001</v>
      </c>
      <c r="N63" s="132"/>
      <c r="O63" s="744"/>
      <c r="P63" s="256"/>
      <c r="Q63" s="256"/>
      <c r="R63" s="206" t="s">
        <v>541</v>
      </c>
      <c r="S63" s="198">
        <v>8155.1440000000002</v>
      </c>
      <c r="T63" s="198">
        <v>12907.16</v>
      </c>
      <c r="U63" s="198">
        <v>14737.77</v>
      </c>
      <c r="V63" s="198">
        <v>16014.65</v>
      </c>
      <c r="W63" s="202">
        <v>17499.060000000001</v>
      </c>
    </row>
    <row r="64" spans="1:23">
      <c r="A64" s="744"/>
      <c r="B64" s="256"/>
      <c r="C64" s="256"/>
      <c r="D64" s="206" t="s">
        <v>542</v>
      </c>
      <c r="E64" s="198">
        <v>2226.212</v>
      </c>
      <c r="F64" s="198">
        <v>3760.0929999999998</v>
      </c>
      <c r="G64" s="198">
        <v>3824.424</v>
      </c>
      <c r="H64" s="198">
        <v>3958.1669999999999</v>
      </c>
      <c r="I64" s="202">
        <v>3640.0070000000001</v>
      </c>
      <c r="N64" s="132"/>
      <c r="O64" s="744"/>
      <c r="P64" s="256"/>
      <c r="Q64" s="256"/>
      <c r="R64" s="206" t="s">
        <v>542</v>
      </c>
      <c r="S64" s="198">
        <v>2226.212</v>
      </c>
      <c r="T64" s="198">
        <v>3760.0929999999998</v>
      </c>
      <c r="U64" s="198">
        <v>3824.424</v>
      </c>
      <c r="V64" s="198">
        <v>3958.1669999999999</v>
      </c>
      <c r="W64" s="202">
        <v>3640.0070000000001</v>
      </c>
    </row>
    <row r="65" spans="1:23">
      <c r="A65" s="744"/>
      <c r="B65" s="256"/>
      <c r="C65" s="256"/>
      <c r="D65" s="206" t="s">
        <v>543</v>
      </c>
      <c r="E65" s="198">
        <v>0</v>
      </c>
      <c r="F65" s="198">
        <v>0</v>
      </c>
      <c r="G65" s="198">
        <v>0</v>
      </c>
      <c r="H65" s="198">
        <v>0</v>
      </c>
      <c r="I65" s="202">
        <v>0</v>
      </c>
      <c r="N65" s="132"/>
      <c r="O65" s="744"/>
      <c r="P65" s="256"/>
      <c r="Q65" s="256"/>
      <c r="R65" s="206" t="s">
        <v>543</v>
      </c>
      <c r="S65" s="198">
        <v>0</v>
      </c>
      <c r="T65" s="198">
        <v>0</v>
      </c>
      <c r="U65" s="198">
        <v>0</v>
      </c>
      <c r="V65" s="198">
        <v>0</v>
      </c>
      <c r="W65" s="202">
        <v>0</v>
      </c>
    </row>
    <row r="66" spans="1:23" ht="15.75" thickBot="1">
      <c r="A66" s="745"/>
      <c r="B66" s="260"/>
      <c r="C66" s="260"/>
      <c r="D66" s="261" t="s">
        <v>544</v>
      </c>
      <c r="E66" s="203">
        <v>0</v>
      </c>
      <c r="F66" s="203">
        <v>0</v>
      </c>
      <c r="G66" s="203">
        <v>0</v>
      </c>
      <c r="H66" s="203">
        <v>0</v>
      </c>
      <c r="I66" s="204">
        <v>0</v>
      </c>
      <c r="N66" s="132"/>
      <c r="O66" s="745"/>
      <c r="P66" s="260"/>
      <c r="Q66" s="260"/>
      <c r="R66" s="261" t="s">
        <v>544</v>
      </c>
      <c r="S66" s="203">
        <v>0</v>
      </c>
      <c r="T66" s="203">
        <v>0</v>
      </c>
      <c r="U66" s="203">
        <v>0</v>
      </c>
      <c r="V66" s="203">
        <v>0</v>
      </c>
      <c r="W66" s="204">
        <v>0</v>
      </c>
    </row>
    <row r="67" spans="1:23">
      <c r="N67" s="132"/>
    </row>
    <row r="68" spans="1:23" ht="15.75" thickBot="1">
      <c r="N68" s="132"/>
    </row>
    <row r="69" spans="1:23">
      <c r="A69" s="274"/>
      <c r="B69" s="746" t="s">
        <v>548</v>
      </c>
      <c r="C69" s="747"/>
      <c r="D69" s="748" t="s">
        <v>166</v>
      </c>
      <c r="E69" s="749"/>
      <c r="F69" s="737" t="s">
        <v>267</v>
      </c>
      <c r="G69" s="738"/>
      <c r="J69"/>
      <c r="K69"/>
      <c r="L69"/>
      <c r="M69"/>
      <c r="O69" s="274"/>
      <c r="P69" s="746" t="s">
        <v>548</v>
      </c>
      <c r="Q69" s="747"/>
      <c r="R69" s="748" t="s">
        <v>166</v>
      </c>
      <c r="S69" s="749"/>
      <c r="T69" s="737" t="s">
        <v>267</v>
      </c>
      <c r="U69" s="738"/>
    </row>
    <row r="70" spans="1:23">
      <c r="A70" s="187"/>
      <c r="B70" s="217" t="s">
        <v>151</v>
      </c>
      <c r="C70" s="218" t="s">
        <v>153</v>
      </c>
      <c r="D70" s="220" t="s">
        <v>151</v>
      </c>
      <c r="E70" s="281" t="s">
        <v>153</v>
      </c>
      <c r="F70" s="219" t="s">
        <v>151</v>
      </c>
      <c r="G70" s="221" t="s">
        <v>153</v>
      </c>
      <c r="J70"/>
      <c r="K70"/>
      <c r="L70"/>
      <c r="M70"/>
      <c r="O70" s="187"/>
      <c r="P70" s="217" t="s">
        <v>151</v>
      </c>
      <c r="Q70" s="218" t="s">
        <v>153</v>
      </c>
      <c r="R70" s="220" t="s">
        <v>151</v>
      </c>
      <c r="S70" s="281" t="s">
        <v>153</v>
      </c>
      <c r="T70" s="219" t="s">
        <v>151</v>
      </c>
      <c r="U70" s="221" t="s">
        <v>153</v>
      </c>
    </row>
    <row r="71" spans="1:23" ht="45">
      <c r="A71" s="143" t="s">
        <v>551</v>
      </c>
      <c r="B71" s="287">
        <v>14175.67</v>
      </c>
      <c r="C71" s="199">
        <v>12197</v>
      </c>
      <c r="D71" s="287">
        <v>2397.9340000000002</v>
      </c>
      <c r="E71" s="199">
        <v>541.59389999999996</v>
      </c>
      <c r="F71" s="198">
        <v>5341.7979999999998</v>
      </c>
      <c r="G71" s="202">
        <v>2226.212</v>
      </c>
      <c r="J71"/>
      <c r="K71"/>
      <c r="L71"/>
      <c r="M71"/>
      <c r="O71" s="143" t="s">
        <v>551</v>
      </c>
      <c r="P71" s="287">
        <v>20542.64</v>
      </c>
      <c r="Q71" s="199">
        <v>18450.099999999999</v>
      </c>
      <c r="R71" s="287">
        <v>3655.3519999999999</v>
      </c>
      <c r="S71" s="199">
        <v>1417.0060000000001</v>
      </c>
      <c r="T71" s="198">
        <v>5341.7979999999998</v>
      </c>
      <c r="U71" s="202">
        <v>2226.212</v>
      </c>
    </row>
    <row r="72" spans="1:23" ht="30">
      <c r="A72" s="143" t="s">
        <v>552</v>
      </c>
      <c r="B72" s="287">
        <v>12541.7</v>
      </c>
      <c r="C72" s="199">
        <v>10102.94</v>
      </c>
      <c r="D72" s="287">
        <v>6550.1289999999999</v>
      </c>
      <c r="E72" s="199">
        <v>1998.346</v>
      </c>
      <c r="F72" s="198">
        <v>8047.732</v>
      </c>
      <c r="G72" s="202">
        <v>3760.0929999999998</v>
      </c>
      <c r="J72"/>
      <c r="K72"/>
      <c r="L72"/>
      <c r="M72"/>
      <c r="O72" s="143" t="s">
        <v>552</v>
      </c>
      <c r="P72" s="287">
        <v>15625.37</v>
      </c>
      <c r="Q72" s="199">
        <v>13399.09</v>
      </c>
      <c r="R72" s="287">
        <v>7207.0370000000003</v>
      </c>
      <c r="S72" s="199">
        <v>3074.5369999999998</v>
      </c>
      <c r="T72" s="198">
        <v>8047.732</v>
      </c>
      <c r="U72" s="202">
        <v>3760.0929999999998</v>
      </c>
    </row>
    <row r="73" spans="1:23" ht="45">
      <c r="A73" s="143" t="s">
        <v>553</v>
      </c>
      <c r="B73" s="287">
        <v>13795.4</v>
      </c>
      <c r="C73" s="199">
        <v>11378.01</v>
      </c>
      <c r="D73" s="287">
        <v>7303.5280000000002</v>
      </c>
      <c r="E73" s="199">
        <v>1880.4929999999999</v>
      </c>
      <c r="F73" s="198">
        <v>8926.1820000000007</v>
      </c>
      <c r="G73" s="202">
        <v>3824.424</v>
      </c>
      <c r="J73"/>
      <c r="K73"/>
      <c r="L73"/>
      <c r="M73"/>
      <c r="O73" s="143" t="s">
        <v>553</v>
      </c>
      <c r="P73" s="287">
        <v>17376.48</v>
      </c>
      <c r="Q73" s="199">
        <v>16372.09</v>
      </c>
      <c r="R73" s="287">
        <v>7988.6710000000003</v>
      </c>
      <c r="S73" s="199">
        <v>2934.4789999999998</v>
      </c>
      <c r="T73" s="198">
        <v>8926.1820000000007</v>
      </c>
      <c r="U73" s="202">
        <v>3824.424</v>
      </c>
    </row>
    <row r="74" spans="1:23" ht="30">
      <c r="A74" s="143" t="s">
        <v>554</v>
      </c>
      <c r="B74" s="287">
        <v>14967.16</v>
      </c>
      <c r="C74" s="199">
        <v>12185.4</v>
      </c>
      <c r="D74" s="287">
        <v>7857.1459999999997</v>
      </c>
      <c r="E74" s="199">
        <v>1574.5219999999999</v>
      </c>
      <c r="F74" s="198">
        <v>9634.3070000000007</v>
      </c>
      <c r="G74" s="202">
        <v>3958.1669999999999</v>
      </c>
      <c r="N74" s="132"/>
      <c r="O74" s="143" t="s">
        <v>554</v>
      </c>
      <c r="P74" s="287" t="s">
        <v>557</v>
      </c>
      <c r="Q74" s="199" t="s">
        <v>560</v>
      </c>
      <c r="R74" s="287">
        <v>8603.4050000000007</v>
      </c>
      <c r="S74" s="199">
        <v>2920.4189999999999</v>
      </c>
      <c r="T74" s="198">
        <v>9634.3070000000007</v>
      </c>
      <c r="U74" s="202">
        <v>3958.1669999999999</v>
      </c>
    </row>
    <row r="75" spans="1:23" ht="30.75" thickBot="1">
      <c r="A75" s="275" t="s">
        <v>555</v>
      </c>
      <c r="B75" s="288">
        <v>15606.07</v>
      </c>
      <c r="C75" s="289">
        <v>12208.92</v>
      </c>
      <c r="D75" s="288">
        <v>8372.0920000000006</v>
      </c>
      <c r="E75" s="289">
        <v>1467.6669999999999</v>
      </c>
      <c r="F75" s="203">
        <v>10180.24</v>
      </c>
      <c r="G75" s="204">
        <v>3640.0070000000001</v>
      </c>
      <c r="O75" s="275" t="s">
        <v>555</v>
      </c>
      <c r="P75" s="288">
        <v>22407.46</v>
      </c>
      <c r="Q75" s="289">
        <v>21603.37</v>
      </c>
      <c r="R75" s="288">
        <v>9131.0519999999997</v>
      </c>
      <c r="S75" s="289">
        <v>2588.105</v>
      </c>
      <c r="T75" s="203">
        <v>10180.24</v>
      </c>
      <c r="U75" s="204">
        <v>3640.0070000000001</v>
      </c>
    </row>
    <row r="76" spans="1:23">
      <c r="A76" s="144"/>
      <c r="B76" s="198"/>
      <c r="C76" s="198"/>
      <c r="D76" s="198"/>
      <c r="E76" s="198"/>
      <c r="F76" s="198"/>
      <c r="G76" s="198"/>
      <c r="O76" s="144"/>
      <c r="P76" s="198"/>
      <c r="Q76" s="198"/>
      <c r="R76" s="198"/>
      <c r="S76" s="198"/>
      <c r="T76" s="198"/>
      <c r="U76" s="198"/>
    </row>
    <row r="78" spans="1:23" ht="15.75" thickBot="1"/>
    <row r="79" spans="1:23">
      <c r="A79" s="756" t="s">
        <v>563</v>
      </c>
      <c r="B79" s="757"/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8"/>
    </row>
    <row r="80" spans="1:23">
      <c r="A80" s="3"/>
      <c r="B80" s="195" t="s">
        <v>514</v>
      </c>
      <c r="C80" s="195" t="s">
        <v>515</v>
      </c>
      <c r="D80" s="195" t="s">
        <v>516</v>
      </c>
      <c r="E80" s="222" t="s">
        <v>517</v>
      </c>
      <c r="F80" s="222" t="s">
        <v>518</v>
      </c>
      <c r="G80" s="222" t="s">
        <v>519</v>
      </c>
      <c r="H80" s="222" t="s">
        <v>520</v>
      </c>
      <c r="I80" s="222" t="s">
        <v>521</v>
      </c>
      <c r="J80" s="195" t="s">
        <v>305</v>
      </c>
      <c r="K80" s="195" t="s">
        <v>522</v>
      </c>
      <c r="L80" s="195" t="s">
        <v>523</v>
      </c>
      <c r="M80" s="290" t="s">
        <v>524</v>
      </c>
    </row>
    <row r="81" spans="1:27" ht="15.75" thickBot="1">
      <c r="A81" s="4"/>
      <c r="B81" s="193">
        <v>5177</v>
      </c>
      <c r="C81" s="193">
        <v>9535880</v>
      </c>
      <c r="D81" s="193">
        <v>1841.97</v>
      </c>
      <c r="E81" s="203">
        <v>2705.6309999999999</v>
      </c>
      <c r="F81" s="203">
        <v>37401.919999999998</v>
      </c>
      <c r="G81" s="203">
        <v>6977.0640000000003</v>
      </c>
      <c r="H81" s="203">
        <v>5441.21</v>
      </c>
      <c r="I81" s="203">
        <v>3231.5349999999999</v>
      </c>
      <c r="J81" s="193">
        <v>201.57429999999999</v>
      </c>
      <c r="K81" s="193">
        <v>0</v>
      </c>
      <c r="L81" s="193">
        <v>0</v>
      </c>
      <c r="M81" s="204">
        <v>0</v>
      </c>
    </row>
    <row r="84" spans="1:27" ht="15.75" thickBot="1"/>
    <row r="85" spans="1:27" ht="30">
      <c r="A85" s="231"/>
      <c r="B85" s="300" t="s">
        <v>307</v>
      </c>
      <c r="C85" s="293" t="s">
        <v>281</v>
      </c>
      <c r="D85" s="291" t="s">
        <v>528</v>
      </c>
      <c r="E85" s="233" t="s">
        <v>529</v>
      </c>
      <c r="F85" s="233" t="s">
        <v>530</v>
      </c>
      <c r="G85" s="233" t="s">
        <v>531</v>
      </c>
      <c r="H85" s="233" t="s">
        <v>532</v>
      </c>
      <c r="I85" s="234" t="s">
        <v>533</v>
      </c>
      <c r="J85" s="233" t="s">
        <v>534</v>
      </c>
      <c r="K85" s="233" t="s">
        <v>535</v>
      </c>
      <c r="L85" s="233" t="s">
        <v>536</v>
      </c>
      <c r="M85" s="235" t="s">
        <v>537</v>
      </c>
      <c r="N85" s="132"/>
      <c r="O85" s="231"/>
      <c r="P85" s="300" t="s">
        <v>307</v>
      </c>
      <c r="Q85" s="293" t="s">
        <v>281</v>
      </c>
      <c r="R85" s="291" t="s">
        <v>528</v>
      </c>
      <c r="S85" s="233" t="s">
        <v>529</v>
      </c>
      <c r="T85" s="233" t="s">
        <v>530</v>
      </c>
      <c r="U85" s="233" t="s">
        <v>531</v>
      </c>
      <c r="V85" s="233" t="s">
        <v>532</v>
      </c>
      <c r="W85" s="234" t="s">
        <v>533</v>
      </c>
      <c r="X85" s="233" t="s">
        <v>534</v>
      </c>
      <c r="Y85" s="233" t="s">
        <v>535</v>
      </c>
      <c r="Z85" s="233" t="s">
        <v>536</v>
      </c>
      <c r="AA85" s="235" t="s">
        <v>537</v>
      </c>
    </row>
    <row r="86" spans="1:27">
      <c r="A86" s="750" t="s">
        <v>564</v>
      </c>
      <c r="B86" s="301">
        <v>1295</v>
      </c>
      <c r="C86" s="294">
        <f>B86/5177</f>
        <v>0.25014487154722814</v>
      </c>
      <c r="D86" s="292" t="s">
        <v>50</v>
      </c>
      <c r="E86" s="196">
        <v>2949516</v>
      </c>
      <c r="F86" s="196">
        <v>2872721</v>
      </c>
      <c r="G86" s="196">
        <v>3232008</v>
      </c>
      <c r="H86" s="196">
        <v>4335805</v>
      </c>
      <c r="I86" s="196">
        <v>5863261</v>
      </c>
      <c r="J86" s="196">
        <v>7378722</v>
      </c>
      <c r="K86" s="196">
        <v>6968860</v>
      </c>
      <c r="L86" s="196">
        <v>6642827</v>
      </c>
      <c r="M86" s="271">
        <v>6347282</v>
      </c>
      <c r="N86" s="132"/>
      <c r="O86" s="750" t="s">
        <v>565</v>
      </c>
      <c r="P86" s="301">
        <v>518</v>
      </c>
      <c r="Q86" s="294">
        <f>P86/5177</f>
        <v>0.10005794861889125</v>
      </c>
      <c r="R86" s="292" t="s">
        <v>50</v>
      </c>
      <c r="S86" s="196">
        <v>1455276</v>
      </c>
      <c r="T86" s="196">
        <v>1465612</v>
      </c>
      <c r="U86" s="196">
        <v>1626769</v>
      </c>
      <c r="V86" s="196">
        <v>2202430</v>
      </c>
      <c r="W86" s="196">
        <v>3100355</v>
      </c>
      <c r="X86" s="196">
        <v>4081425</v>
      </c>
      <c r="Y86" s="196">
        <v>3899794</v>
      </c>
      <c r="Z86" s="196">
        <v>3707830</v>
      </c>
      <c r="AA86" s="271">
        <v>3466646</v>
      </c>
    </row>
    <row r="87" spans="1:27">
      <c r="A87" s="751"/>
      <c r="B87" s="302"/>
      <c r="C87" s="295"/>
      <c r="D87" s="230" t="s">
        <v>151</v>
      </c>
      <c r="E87" s="198">
        <v>2277.6179999999999</v>
      </c>
      <c r="F87" s="198">
        <v>2218.317</v>
      </c>
      <c r="G87" s="198">
        <v>2495.759</v>
      </c>
      <c r="H87" s="198">
        <v>3348.1120000000001</v>
      </c>
      <c r="I87" s="198">
        <v>4527.6149999999998</v>
      </c>
      <c r="J87" s="198">
        <v>5697.8549999999996</v>
      </c>
      <c r="K87" s="198">
        <v>5381.3590000000004</v>
      </c>
      <c r="L87" s="198">
        <v>5129.5959999999995</v>
      </c>
      <c r="M87" s="202">
        <v>4901.3760000000002</v>
      </c>
      <c r="N87" s="132"/>
      <c r="O87" s="751"/>
      <c r="P87" s="302"/>
      <c r="Q87" s="295"/>
      <c r="R87" s="230" t="s">
        <v>151</v>
      </c>
      <c r="S87" s="198">
        <v>2809.413</v>
      </c>
      <c r="T87" s="198">
        <v>2829.3670000000002</v>
      </c>
      <c r="U87" s="198">
        <v>3140.4810000000002</v>
      </c>
      <c r="V87" s="198">
        <v>4251.7939999999999</v>
      </c>
      <c r="W87" s="198">
        <v>5985.2420000000002</v>
      </c>
      <c r="X87" s="198">
        <v>7879.1989999999996</v>
      </c>
      <c r="Y87" s="198">
        <v>7528.5590000000002</v>
      </c>
      <c r="Z87" s="198">
        <v>7157.973</v>
      </c>
      <c r="AA87" s="202">
        <v>6692.3670000000002</v>
      </c>
    </row>
    <row r="88" spans="1:27">
      <c r="A88" s="751"/>
      <c r="B88" s="302"/>
      <c r="C88" s="295"/>
      <c r="D88" s="230" t="s">
        <v>540</v>
      </c>
      <c r="E88" s="198">
        <v>17529.88</v>
      </c>
      <c r="F88" s="198">
        <v>21651.599999999999</v>
      </c>
      <c r="G88" s="198">
        <v>17308.59</v>
      </c>
      <c r="H88" s="198">
        <v>22159.69</v>
      </c>
      <c r="I88" s="198">
        <v>27744.54</v>
      </c>
      <c r="J88" s="198">
        <v>37401.919999999998</v>
      </c>
      <c r="K88" s="198">
        <v>27194.97</v>
      </c>
      <c r="L88" s="198">
        <v>30714.99</v>
      </c>
      <c r="M88" s="202">
        <v>36523.07</v>
      </c>
      <c r="N88" s="132"/>
      <c r="O88" s="751"/>
      <c r="P88" s="302"/>
      <c r="Q88" s="295"/>
      <c r="R88" s="230" t="s">
        <v>540</v>
      </c>
      <c r="S88" s="198">
        <v>17529.88</v>
      </c>
      <c r="T88" s="198">
        <v>21651.599999999999</v>
      </c>
      <c r="U88" s="198">
        <v>17308.59</v>
      </c>
      <c r="V88" s="198">
        <v>22159.69</v>
      </c>
      <c r="W88" s="198">
        <v>27744.54</v>
      </c>
      <c r="X88" s="198">
        <v>37401.919999999998</v>
      </c>
      <c r="Y88" s="198">
        <v>27194.97</v>
      </c>
      <c r="Z88" s="198">
        <v>30714.99</v>
      </c>
      <c r="AA88" s="202">
        <v>26002.92</v>
      </c>
    </row>
    <row r="89" spans="1:27">
      <c r="A89" s="751"/>
      <c r="B89" s="302"/>
      <c r="C89" s="295"/>
      <c r="D89" s="230" t="s">
        <v>541</v>
      </c>
      <c r="E89" s="198">
        <v>3854.9850000000001</v>
      </c>
      <c r="F89" s="198">
        <v>3623.6840000000002</v>
      </c>
      <c r="G89" s="198">
        <v>3938.8440000000001</v>
      </c>
      <c r="H89" s="198">
        <v>5136.5510000000004</v>
      </c>
      <c r="I89" s="198">
        <v>5839.6090000000004</v>
      </c>
      <c r="J89" s="198">
        <v>6497.5940000000001</v>
      </c>
      <c r="K89" s="198">
        <v>6789.741</v>
      </c>
      <c r="L89" s="198">
        <v>6849.1989999999996</v>
      </c>
      <c r="M89" s="202">
        <v>6623.9750000000004</v>
      </c>
      <c r="N89" s="132"/>
      <c r="O89" s="751"/>
      <c r="P89" s="302"/>
      <c r="Q89" s="295"/>
      <c r="R89" s="230" t="s">
        <v>541</v>
      </c>
      <c r="S89" s="198">
        <v>4823.8559999999998</v>
      </c>
      <c r="T89" s="198">
        <v>4576.4309999999996</v>
      </c>
      <c r="U89" s="198">
        <v>4748.5450000000001</v>
      </c>
      <c r="V89" s="198">
        <v>6497.0349999999999</v>
      </c>
      <c r="W89" s="198">
        <v>7725.6580000000004</v>
      </c>
      <c r="X89" s="198">
        <v>8496.5460000000003</v>
      </c>
      <c r="Y89" s="198">
        <v>8856.0759999999991</v>
      </c>
      <c r="Z89" s="198">
        <v>9119.5969999999998</v>
      </c>
      <c r="AA89" s="202">
        <v>8676.3889999999992</v>
      </c>
    </row>
    <row r="90" spans="1:27">
      <c r="A90" s="751"/>
      <c r="B90" s="302"/>
      <c r="C90" s="295"/>
      <c r="D90" s="230" t="s">
        <v>542</v>
      </c>
      <c r="E90" s="198">
        <v>1029.7429999999999</v>
      </c>
      <c r="F90" s="198">
        <v>1040.202</v>
      </c>
      <c r="G90" s="198">
        <v>1919.3230000000001</v>
      </c>
      <c r="H90" s="198">
        <v>3055.1869999999999</v>
      </c>
      <c r="I90" s="198">
        <v>4298.067</v>
      </c>
      <c r="J90" s="198">
        <v>4976.8890000000001</v>
      </c>
      <c r="K90" s="198">
        <v>4968.2640000000001</v>
      </c>
      <c r="L90" s="198">
        <v>4873.6660000000002</v>
      </c>
      <c r="M90" s="202">
        <v>4715.1369999999997</v>
      </c>
      <c r="N90" s="132"/>
      <c r="O90" s="751"/>
      <c r="P90" s="302"/>
      <c r="Q90" s="295"/>
      <c r="R90" s="230" t="s">
        <v>542</v>
      </c>
      <c r="S90" s="198">
        <v>1248.7180000000001</v>
      </c>
      <c r="T90" s="198">
        <v>1312.7539999999999</v>
      </c>
      <c r="U90" s="198">
        <v>2393.4549999999999</v>
      </c>
      <c r="V90" s="198">
        <v>4232.692</v>
      </c>
      <c r="W90" s="198">
        <v>5782.4290000000001</v>
      </c>
      <c r="X90" s="198">
        <v>6972.2079999999996</v>
      </c>
      <c r="Y90" s="198">
        <v>7064.8559999999998</v>
      </c>
      <c r="Z90" s="198">
        <v>6958.6949999999997</v>
      </c>
      <c r="AA90" s="202">
        <v>6514.4859999999999</v>
      </c>
    </row>
    <row r="91" spans="1:27">
      <c r="A91" s="751"/>
      <c r="B91" s="302"/>
      <c r="C91" s="295"/>
      <c r="D91" s="230" t="s">
        <v>543</v>
      </c>
      <c r="E91" s="198">
        <v>0</v>
      </c>
      <c r="F91" s="198">
        <v>0</v>
      </c>
      <c r="G91" s="198">
        <v>0</v>
      </c>
      <c r="H91" s="198">
        <v>673.10239999999999</v>
      </c>
      <c r="I91" s="198">
        <v>2805.2429999999999</v>
      </c>
      <c r="J91" s="198">
        <v>4023.875</v>
      </c>
      <c r="K91" s="198">
        <v>3578.1529999999998</v>
      </c>
      <c r="L91" s="198">
        <v>2836.2489999999998</v>
      </c>
      <c r="M91" s="202">
        <v>2373.13</v>
      </c>
      <c r="N91" s="132"/>
      <c r="O91" s="751"/>
      <c r="P91" s="302"/>
      <c r="Q91" s="295"/>
      <c r="R91" s="230" t="s">
        <v>543</v>
      </c>
      <c r="S91" s="198">
        <v>0</v>
      </c>
      <c r="T91" s="198">
        <v>0</v>
      </c>
      <c r="U91" s="198">
        <v>48.748779999999996</v>
      </c>
      <c r="V91" s="198">
        <v>1184.57</v>
      </c>
      <c r="W91" s="198">
        <v>3993.942</v>
      </c>
      <c r="X91" s="198">
        <v>6139.8410000000003</v>
      </c>
      <c r="Y91" s="198">
        <v>5572.2550000000001</v>
      </c>
      <c r="Z91" s="198">
        <v>5219.7079999999996</v>
      </c>
      <c r="AA91" s="202">
        <v>4417.1959999999999</v>
      </c>
    </row>
    <row r="92" spans="1:27">
      <c r="A92" s="752"/>
      <c r="B92" s="303"/>
      <c r="C92" s="296"/>
      <c r="D92" s="253" t="s">
        <v>544</v>
      </c>
      <c r="E92" s="200">
        <v>0</v>
      </c>
      <c r="F92" s="200">
        <v>0</v>
      </c>
      <c r="G92" s="200">
        <v>0</v>
      </c>
      <c r="H92" s="200">
        <v>0</v>
      </c>
      <c r="I92" s="200">
        <v>0</v>
      </c>
      <c r="J92" s="200">
        <v>3231.5349999999999</v>
      </c>
      <c r="K92" s="200">
        <v>0</v>
      </c>
      <c r="L92" s="200">
        <v>0</v>
      </c>
      <c r="M92" s="205">
        <v>0</v>
      </c>
      <c r="N92" s="132"/>
      <c r="O92" s="752"/>
      <c r="P92" s="303"/>
      <c r="Q92" s="296"/>
      <c r="R92" s="253" t="s">
        <v>544</v>
      </c>
      <c r="S92" s="200">
        <v>0</v>
      </c>
      <c r="T92" s="200">
        <v>0</v>
      </c>
      <c r="U92" s="200">
        <v>0</v>
      </c>
      <c r="V92" s="200">
        <v>0</v>
      </c>
      <c r="W92" s="200">
        <v>0</v>
      </c>
      <c r="X92" s="200">
        <v>5441.21</v>
      </c>
      <c r="Y92" s="200">
        <v>0</v>
      </c>
      <c r="Z92" s="200">
        <v>0</v>
      </c>
      <c r="AA92" s="205">
        <v>0</v>
      </c>
    </row>
    <row r="93" spans="1:27">
      <c r="A93" s="751" t="s">
        <v>166</v>
      </c>
      <c r="B93" s="302">
        <v>3882</v>
      </c>
      <c r="C93" s="307">
        <f>B93/5177</f>
        <v>0.74985512845277191</v>
      </c>
      <c r="D93" s="230" t="s">
        <v>50</v>
      </c>
      <c r="E93" s="198">
        <v>4096191</v>
      </c>
      <c r="F93" s="198">
        <v>3574071</v>
      </c>
      <c r="G93" s="198">
        <v>3391093</v>
      </c>
      <c r="H93" s="198">
        <v>3203082</v>
      </c>
      <c r="I93" s="198">
        <v>2881763</v>
      </c>
      <c r="J93" s="198">
        <v>2157158</v>
      </c>
      <c r="K93" s="198">
        <v>3344362</v>
      </c>
      <c r="L93" s="198">
        <v>4271436</v>
      </c>
      <c r="M93" s="202">
        <v>4552462</v>
      </c>
      <c r="N93" s="132"/>
      <c r="O93" s="751" t="s">
        <v>166</v>
      </c>
      <c r="P93" s="301">
        <v>4659</v>
      </c>
      <c r="Q93" s="294">
        <f>P93/5177</f>
        <v>0.89994205138110872</v>
      </c>
      <c r="R93" s="292" t="s">
        <v>50</v>
      </c>
      <c r="S93" s="196">
        <v>5590431</v>
      </c>
      <c r="T93" s="196">
        <v>4981180</v>
      </c>
      <c r="U93" s="196">
        <v>4996332</v>
      </c>
      <c r="V93" s="196">
        <v>5336458</v>
      </c>
      <c r="W93" s="196">
        <v>5644669</v>
      </c>
      <c r="X93" s="196">
        <v>5454455</v>
      </c>
      <c r="Y93" s="196">
        <v>6413429</v>
      </c>
      <c r="Z93" s="196">
        <v>7206433</v>
      </c>
      <c r="AA93" s="271">
        <v>7433097</v>
      </c>
    </row>
    <row r="94" spans="1:27">
      <c r="A94" s="751"/>
      <c r="B94" s="214"/>
      <c r="C94" s="230"/>
      <c r="D94" s="230" t="s">
        <v>151</v>
      </c>
      <c r="E94" s="198">
        <v>1055.175</v>
      </c>
      <c r="F94" s="198">
        <v>920.67769999999996</v>
      </c>
      <c r="G94" s="198">
        <v>873.54269999999997</v>
      </c>
      <c r="H94" s="198">
        <v>825.11130000000003</v>
      </c>
      <c r="I94" s="198">
        <v>742.33969999999999</v>
      </c>
      <c r="J94" s="198">
        <v>555.68209999999999</v>
      </c>
      <c r="K94" s="198">
        <v>861.505</v>
      </c>
      <c r="L94" s="198">
        <v>1100.318</v>
      </c>
      <c r="M94" s="202">
        <v>1172.71</v>
      </c>
      <c r="N94" s="132"/>
      <c r="O94" s="751"/>
      <c r="P94" s="214"/>
      <c r="Q94" s="230"/>
      <c r="R94" s="230" t="s">
        <v>151</v>
      </c>
      <c r="S94" s="198">
        <v>1199.921</v>
      </c>
      <c r="T94" s="198">
        <v>1069.152</v>
      </c>
      <c r="U94" s="198">
        <v>1072.404</v>
      </c>
      <c r="V94" s="198">
        <v>1145.4079999999999</v>
      </c>
      <c r="W94" s="198">
        <v>1211.5619999999999</v>
      </c>
      <c r="X94" s="198">
        <v>1170.7349999999999</v>
      </c>
      <c r="Y94" s="198">
        <v>1376.568</v>
      </c>
      <c r="Z94" s="198">
        <v>1546.777</v>
      </c>
      <c r="AA94" s="202">
        <v>1595.4280000000001</v>
      </c>
    </row>
    <row r="95" spans="1:27">
      <c r="A95" s="751"/>
      <c r="B95" s="302"/>
      <c r="C95" s="295"/>
      <c r="D95" s="230" t="s">
        <v>540</v>
      </c>
      <c r="E95" s="198">
        <v>23097.47</v>
      </c>
      <c r="F95" s="198">
        <v>22262.21</v>
      </c>
      <c r="G95" s="198">
        <v>20718.330000000002</v>
      </c>
      <c r="H95" s="198">
        <v>14280.53</v>
      </c>
      <c r="I95" s="198">
        <v>35702.6</v>
      </c>
      <c r="J95" s="198">
        <v>3230.239</v>
      </c>
      <c r="K95" s="198">
        <v>12219.49</v>
      </c>
      <c r="L95" s="198">
        <v>17320.86</v>
      </c>
      <c r="M95" s="202">
        <v>13777.71</v>
      </c>
      <c r="N95" s="132"/>
      <c r="O95" s="751"/>
      <c r="P95" s="302"/>
      <c r="Q95" s="295"/>
      <c r="R95" s="230" t="s">
        <v>540</v>
      </c>
      <c r="S95" s="198">
        <v>23097.47</v>
      </c>
      <c r="T95" s="198">
        <v>22262.21</v>
      </c>
      <c r="U95" s="198">
        <v>20718.330000000002</v>
      </c>
      <c r="V95" s="198">
        <v>18146.009999999998</v>
      </c>
      <c r="W95" s="198">
        <v>35702.6</v>
      </c>
      <c r="X95" s="198">
        <v>5440.8649999999998</v>
      </c>
      <c r="Y95" s="198">
        <v>12219.49</v>
      </c>
      <c r="Z95" s="198">
        <v>18144.400000000001</v>
      </c>
      <c r="AA95" s="202">
        <v>36523.07</v>
      </c>
    </row>
    <row r="96" spans="1:27">
      <c r="A96" s="751"/>
      <c r="B96" s="302"/>
      <c r="C96" s="295"/>
      <c r="D96" s="230" t="s">
        <v>541</v>
      </c>
      <c r="E96" s="198">
        <v>1225.1010000000001</v>
      </c>
      <c r="F96" s="198">
        <v>951.56169999999997</v>
      </c>
      <c r="G96" s="198">
        <v>1043.4349999999999</v>
      </c>
      <c r="H96" s="198">
        <v>1030.192</v>
      </c>
      <c r="I96" s="198">
        <v>947.01549999999997</v>
      </c>
      <c r="J96" s="198">
        <v>838.69770000000005</v>
      </c>
      <c r="K96" s="198">
        <v>1255.375</v>
      </c>
      <c r="L96" s="198">
        <v>1783.232</v>
      </c>
      <c r="M96" s="202">
        <v>1924.575</v>
      </c>
      <c r="N96" s="132"/>
      <c r="O96" s="751"/>
      <c r="P96" s="302"/>
      <c r="Q96" s="295"/>
      <c r="R96" s="230" t="s">
        <v>541</v>
      </c>
      <c r="S96" s="198">
        <v>1667.6079999999999</v>
      </c>
      <c r="T96" s="198">
        <v>1406.319</v>
      </c>
      <c r="U96" s="198">
        <v>1541.8620000000001</v>
      </c>
      <c r="V96" s="198">
        <v>1819.8409999999999</v>
      </c>
      <c r="W96" s="198">
        <v>2113.5720000000001</v>
      </c>
      <c r="X96" s="198">
        <v>2284.6480000000001</v>
      </c>
      <c r="Y96" s="198">
        <v>2596.9839999999999</v>
      </c>
      <c r="Z96" s="198">
        <v>2884.0390000000002</v>
      </c>
      <c r="AA96" s="202">
        <v>2947.4079999999999</v>
      </c>
    </row>
    <row r="97" spans="1:27">
      <c r="A97" s="751"/>
      <c r="B97" s="302"/>
      <c r="C97" s="295"/>
      <c r="D97" s="230" t="s">
        <v>542</v>
      </c>
      <c r="E97" s="198">
        <v>0</v>
      </c>
      <c r="F97" s="198">
        <v>0</v>
      </c>
      <c r="G97" s="198">
        <v>0</v>
      </c>
      <c r="H97" s="198">
        <v>0</v>
      </c>
      <c r="I97" s="198">
        <v>0</v>
      </c>
      <c r="J97" s="198">
        <v>0</v>
      </c>
      <c r="K97" s="198">
        <v>0</v>
      </c>
      <c r="L97" s="198">
        <v>0</v>
      </c>
      <c r="M97" s="202">
        <v>0</v>
      </c>
      <c r="N97" s="132"/>
      <c r="O97" s="751"/>
      <c r="P97" s="302"/>
      <c r="Q97" s="295"/>
      <c r="R97" s="230" t="s">
        <v>542</v>
      </c>
      <c r="S97" s="198">
        <v>0</v>
      </c>
      <c r="T97" s="198">
        <v>0</v>
      </c>
      <c r="U97" s="198">
        <v>0</v>
      </c>
      <c r="V97" s="198">
        <v>0</v>
      </c>
      <c r="W97" s="198">
        <v>0</v>
      </c>
      <c r="X97" s="198">
        <v>0</v>
      </c>
      <c r="Y97" s="198">
        <v>0</v>
      </c>
      <c r="Z97" s="198">
        <v>0</v>
      </c>
      <c r="AA97" s="202">
        <v>0</v>
      </c>
    </row>
    <row r="98" spans="1:27">
      <c r="A98" s="751"/>
      <c r="B98" s="302"/>
      <c r="C98" s="295"/>
      <c r="D98" s="230" t="s">
        <v>543</v>
      </c>
      <c r="E98" s="198">
        <v>0</v>
      </c>
      <c r="F98" s="198">
        <v>0</v>
      </c>
      <c r="G98" s="198">
        <v>0</v>
      </c>
      <c r="H98" s="198">
        <v>0</v>
      </c>
      <c r="I98" s="198">
        <v>0</v>
      </c>
      <c r="J98" s="198">
        <v>0</v>
      </c>
      <c r="K98" s="198">
        <v>0</v>
      </c>
      <c r="L98" s="198">
        <v>0</v>
      </c>
      <c r="M98" s="202">
        <v>0</v>
      </c>
      <c r="N98" s="132"/>
      <c r="O98" s="751"/>
      <c r="P98" s="302"/>
      <c r="Q98" s="295"/>
      <c r="R98" s="230" t="s">
        <v>543</v>
      </c>
      <c r="S98" s="198">
        <v>0</v>
      </c>
      <c r="T98" s="198">
        <v>0</v>
      </c>
      <c r="U98" s="198">
        <v>0</v>
      </c>
      <c r="V98" s="198">
        <v>0</v>
      </c>
      <c r="W98" s="198">
        <v>0</v>
      </c>
      <c r="X98" s="198">
        <v>0</v>
      </c>
      <c r="Y98" s="198">
        <v>0</v>
      </c>
      <c r="Z98" s="198">
        <v>0</v>
      </c>
      <c r="AA98" s="202">
        <v>0</v>
      </c>
    </row>
    <row r="99" spans="1:27">
      <c r="A99" s="751"/>
      <c r="B99" s="302"/>
      <c r="C99" s="295"/>
      <c r="D99" s="230" t="s">
        <v>544</v>
      </c>
      <c r="E99" s="198">
        <v>0</v>
      </c>
      <c r="F99" s="198">
        <v>0</v>
      </c>
      <c r="G99" s="198">
        <v>0</v>
      </c>
      <c r="H99" s="198">
        <v>0</v>
      </c>
      <c r="I99" s="198">
        <v>0</v>
      </c>
      <c r="J99" s="198">
        <v>0</v>
      </c>
      <c r="K99" s="198">
        <v>0</v>
      </c>
      <c r="L99" s="198">
        <v>0</v>
      </c>
      <c r="M99" s="202">
        <v>0</v>
      </c>
      <c r="N99" s="132"/>
      <c r="O99" s="751"/>
      <c r="P99" s="303"/>
      <c r="Q99" s="296"/>
      <c r="R99" s="253" t="s">
        <v>544</v>
      </c>
      <c r="S99" s="200">
        <v>0</v>
      </c>
      <c r="T99" s="200">
        <v>0</v>
      </c>
      <c r="U99" s="200">
        <v>0</v>
      </c>
      <c r="V99" s="200">
        <v>0</v>
      </c>
      <c r="W99" s="200">
        <v>0</v>
      </c>
      <c r="X99" s="200">
        <v>0</v>
      </c>
      <c r="Y99" s="200">
        <v>0</v>
      </c>
      <c r="Z99" s="200">
        <v>0</v>
      </c>
      <c r="AA99" s="205">
        <v>0</v>
      </c>
    </row>
    <row r="100" spans="1:27">
      <c r="A100" s="753" t="s">
        <v>267</v>
      </c>
      <c r="B100" s="306">
        <v>5177</v>
      </c>
      <c r="C100" s="308">
        <v>1</v>
      </c>
      <c r="D100" s="292" t="s">
        <v>50</v>
      </c>
      <c r="E100" s="196">
        <v>7045707</v>
      </c>
      <c r="F100" s="196">
        <v>6446792</v>
      </c>
      <c r="G100" s="196">
        <v>6623101</v>
      </c>
      <c r="H100" s="196">
        <v>7538887</v>
      </c>
      <c r="I100" s="196">
        <v>8745024</v>
      </c>
      <c r="J100" s="196">
        <v>9535880</v>
      </c>
      <c r="K100" s="196">
        <v>10300000</v>
      </c>
      <c r="L100" s="196">
        <v>10900000</v>
      </c>
      <c r="M100" s="271">
        <v>10900000</v>
      </c>
      <c r="N100" s="132"/>
      <c r="O100" s="753" t="s">
        <v>267</v>
      </c>
      <c r="P100" s="304">
        <v>5177</v>
      </c>
      <c r="Q100" s="297">
        <v>1</v>
      </c>
      <c r="R100" s="230" t="s">
        <v>50</v>
      </c>
      <c r="S100" s="198">
        <v>7045707</v>
      </c>
      <c r="T100" s="198">
        <v>6446792</v>
      </c>
      <c r="U100" s="198">
        <v>6623101</v>
      </c>
      <c r="V100" s="198">
        <v>7538887</v>
      </c>
      <c r="W100" s="198">
        <v>8745024</v>
      </c>
      <c r="X100" s="198">
        <v>9535880</v>
      </c>
      <c r="Y100" s="198">
        <v>10300000</v>
      </c>
      <c r="Z100" s="198">
        <v>10900000</v>
      </c>
      <c r="AA100" s="202">
        <v>10900000</v>
      </c>
    </row>
    <row r="101" spans="1:27">
      <c r="A101" s="754"/>
      <c r="B101" s="214"/>
      <c r="C101" s="230"/>
      <c r="D101" s="230" t="s">
        <v>151</v>
      </c>
      <c r="E101" s="198">
        <v>1360.963</v>
      </c>
      <c r="F101" s="198">
        <v>1245.2760000000001</v>
      </c>
      <c r="G101" s="198">
        <v>1279.3320000000001</v>
      </c>
      <c r="H101" s="198">
        <v>1456.2270000000001</v>
      </c>
      <c r="I101" s="198">
        <v>1689.2070000000001</v>
      </c>
      <c r="J101" s="198">
        <v>1841.97</v>
      </c>
      <c r="K101" s="198">
        <v>1992.123</v>
      </c>
      <c r="L101" s="198">
        <v>2108.2220000000002</v>
      </c>
      <c r="M101" s="202">
        <v>2105.4169999999999</v>
      </c>
      <c r="N101" s="132"/>
      <c r="O101" s="754"/>
      <c r="P101" s="214"/>
      <c r="Q101" s="230"/>
      <c r="R101" s="230" t="s">
        <v>151</v>
      </c>
      <c r="S101" s="198">
        <v>1360.963</v>
      </c>
      <c r="T101" s="198">
        <v>1245.2760000000001</v>
      </c>
      <c r="U101" s="198">
        <v>1279.3320000000001</v>
      </c>
      <c r="V101" s="198">
        <v>1456.2270000000001</v>
      </c>
      <c r="W101" s="198">
        <v>1689.2070000000001</v>
      </c>
      <c r="X101" s="198">
        <v>1841.97</v>
      </c>
      <c r="Y101" s="198">
        <v>1992.123</v>
      </c>
      <c r="Z101" s="198">
        <v>2108.2220000000002</v>
      </c>
      <c r="AA101" s="202">
        <v>2105.4169999999999</v>
      </c>
    </row>
    <row r="102" spans="1:27">
      <c r="A102" s="754"/>
      <c r="B102" s="304"/>
      <c r="C102" s="298"/>
      <c r="D102" s="230" t="s">
        <v>540</v>
      </c>
      <c r="E102" s="198">
        <v>23097.47</v>
      </c>
      <c r="F102" s="198">
        <v>22262.21</v>
      </c>
      <c r="G102" s="198">
        <v>20718.330000000002</v>
      </c>
      <c r="H102" s="198">
        <v>22159.69</v>
      </c>
      <c r="I102" s="198">
        <v>35702.6</v>
      </c>
      <c r="J102" s="198">
        <v>37401.919999999998</v>
      </c>
      <c r="K102" s="198">
        <v>27194.97</v>
      </c>
      <c r="L102" s="198">
        <v>30714.99</v>
      </c>
      <c r="M102" s="202">
        <v>36523.07</v>
      </c>
      <c r="N102" s="132"/>
      <c r="O102" s="754"/>
      <c r="P102" s="304"/>
      <c r="Q102" s="298"/>
      <c r="R102" s="230" t="s">
        <v>540</v>
      </c>
      <c r="S102" s="198">
        <v>23097.47</v>
      </c>
      <c r="T102" s="198">
        <v>22262.21</v>
      </c>
      <c r="U102" s="198">
        <v>20718.330000000002</v>
      </c>
      <c r="V102" s="198">
        <v>22159.69</v>
      </c>
      <c r="W102" s="198">
        <v>35702.6</v>
      </c>
      <c r="X102" s="198">
        <v>37401.919999999998</v>
      </c>
      <c r="Y102" s="198">
        <v>27194.97</v>
      </c>
      <c r="Z102" s="198">
        <v>30714.99</v>
      </c>
      <c r="AA102" s="202">
        <v>36523.07</v>
      </c>
    </row>
    <row r="103" spans="1:27">
      <c r="A103" s="754"/>
      <c r="B103" s="304"/>
      <c r="C103" s="298"/>
      <c r="D103" s="230" t="s">
        <v>541</v>
      </c>
      <c r="E103" s="198">
        <v>1964.85</v>
      </c>
      <c r="F103" s="198">
        <v>1711.7460000000001</v>
      </c>
      <c r="G103" s="198">
        <v>1949.7380000000001</v>
      </c>
      <c r="H103" s="198">
        <v>2360.6019999999999</v>
      </c>
      <c r="I103" s="198">
        <v>2898.3330000000001</v>
      </c>
      <c r="J103" s="198">
        <v>3231.5349999999999</v>
      </c>
      <c r="K103" s="198">
        <v>3514.22</v>
      </c>
      <c r="L103" s="198">
        <v>3658.0830000000001</v>
      </c>
      <c r="M103" s="202">
        <v>3746.2820000000002</v>
      </c>
      <c r="N103" s="132"/>
      <c r="O103" s="754"/>
      <c r="P103" s="304"/>
      <c r="Q103" s="298"/>
      <c r="R103" s="230" t="s">
        <v>541</v>
      </c>
      <c r="S103" s="198">
        <v>1964.85</v>
      </c>
      <c r="T103" s="198">
        <v>1711.7460000000001</v>
      </c>
      <c r="U103" s="198">
        <v>1949.7380000000001</v>
      </c>
      <c r="V103" s="198">
        <v>2360.6019999999999</v>
      </c>
      <c r="W103" s="198">
        <v>2898.3330000000001</v>
      </c>
      <c r="X103" s="198">
        <v>3231.5349999999999</v>
      </c>
      <c r="Y103" s="198">
        <v>3514.22</v>
      </c>
      <c r="Z103" s="198">
        <v>3658.0830000000001</v>
      </c>
      <c r="AA103" s="202">
        <v>3746.2820000000002</v>
      </c>
    </row>
    <row r="104" spans="1:27">
      <c r="A104" s="754"/>
      <c r="B104" s="304"/>
      <c r="C104" s="298"/>
      <c r="D104" s="230" t="s">
        <v>542</v>
      </c>
      <c r="E104" s="198">
        <v>0</v>
      </c>
      <c r="F104" s="198">
        <v>0</v>
      </c>
      <c r="G104" s="198">
        <v>0</v>
      </c>
      <c r="H104" s="198">
        <v>19.433350000000001</v>
      </c>
      <c r="I104" s="198">
        <v>216.87010000000001</v>
      </c>
      <c r="J104" s="198">
        <v>201.57429999999999</v>
      </c>
      <c r="K104" s="198">
        <v>316.49680000000001</v>
      </c>
      <c r="L104" s="198">
        <v>343.97280000000001</v>
      </c>
      <c r="M104" s="202">
        <v>257.59750000000003</v>
      </c>
      <c r="N104" s="132"/>
      <c r="O104" s="754"/>
      <c r="P104" s="304"/>
      <c r="Q104" s="298"/>
      <c r="R104" s="230" t="s">
        <v>542</v>
      </c>
      <c r="S104" s="198">
        <v>0</v>
      </c>
      <c r="T104" s="198">
        <v>0</v>
      </c>
      <c r="U104" s="198">
        <v>0</v>
      </c>
      <c r="V104" s="198">
        <v>19.433350000000001</v>
      </c>
      <c r="W104" s="198">
        <v>216.87010000000001</v>
      </c>
      <c r="X104" s="198">
        <v>201.57429999999999</v>
      </c>
      <c r="Y104" s="198">
        <v>316.49680000000001</v>
      </c>
      <c r="Z104" s="198">
        <v>343.97280000000001</v>
      </c>
      <c r="AA104" s="202">
        <v>257.59750000000003</v>
      </c>
    </row>
    <row r="105" spans="1:27">
      <c r="A105" s="754"/>
      <c r="B105" s="304"/>
      <c r="C105" s="298"/>
      <c r="D105" s="230" t="s">
        <v>543</v>
      </c>
      <c r="E105" s="198">
        <v>0</v>
      </c>
      <c r="F105" s="198">
        <v>0</v>
      </c>
      <c r="G105" s="198">
        <v>0</v>
      </c>
      <c r="H105" s="198">
        <v>0</v>
      </c>
      <c r="I105" s="198">
        <v>0</v>
      </c>
      <c r="J105" s="198">
        <v>0</v>
      </c>
      <c r="K105" s="198">
        <v>0</v>
      </c>
      <c r="L105" s="198">
        <v>0</v>
      </c>
      <c r="M105" s="202">
        <v>0</v>
      </c>
      <c r="N105" s="132"/>
      <c r="O105" s="754"/>
      <c r="P105" s="304"/>
      <c r="Q105" s="298"/>
      <c r="R105" s="230" t="s">
        <v>543</v>
      </c>
      <c r="S105" s="198">
        <v>0</v>
      </c>
      <c r="T105" s="198">
        <v>0</v>
      </c>
      <c r="U105" s="198">
        <v>0</v>
      </c>
      <c r="V105" s="198">
        <v>0</v>
      </c>
      <c r="W105" s="198">
        <v>0</v>
      </c>
      <c r="X105" s="198">
        <v>0</v>
      </c>
      <c r="Y105" s="198">
        <v>0</v>
      </c>
      <c r="Z105" s="198">
        <v>0</v>
      </c>
      <c r="AA105" s="202">
        <v>0</v>
      </c>
    </row>
    <row r="106" spans="1:27" ht="15.75" thickBot="1">
      <c r="A106" s="755"/>
      <c r="B106" s="305"/>
      <c r="C106" s="299"/>
      <c r="D106" s="263" t="s">
        <v>544</v>
      </c>
      <c r="E106" s="203">
        <v>0</v>
      </c>
      <c r="F106" s="203">
        <v>0</v>
      </c>
      <c r="G106" s="203">
        <v>0</v>
      </c>
      <c r="H106" s="203">
        <v>0</v>
      </c>
      <c r="I106" s="203">
        <v>0</v>
      </c>
      <c r="J106" s="203">
        <v>0</v>
      </c>
      <c r="K106" s="203">
        <v>0</v>
      </c>
      <c r="L106" s="203">
        <v>0</v>
      </c>
      <c r="M106" s="204">
        <v>0</v>
      </c>
      <c r="N106" s="132"/>
      <c r="O106" s="755"/>
      <c r="P106" s="305"/>
      <c r="Q106" s="299"/>
      <c r="R106" s="263" t="s">
        <v>544</v>
      </c>
      <c r="S106" s="203">
        <v>0</v>
      </c>
      <c r="T106" s="203">
        <v>0</v>
      </c>
      <c r="U106" s="203">
        <v>0</v>
      </c>
      <c r="V106" s="203">
        <v>0</v>
      </c>
      <c r="W106" s="203">
        <v>0</v>
      </c>
      <c r="X106" s="203">
        <v>0</v>
      </c>
      <c r="Y106" s="203">
        <v>0</v>
      </c>
      <c r="Z106" s="203">
        <v>0</v>
      </c>
      <c r="AA106" s="204">
        <v>0</v>
      </c>
    </row>
    <row r="107" spans="1:27">
      <c r="S107" s="132"/>
      <c r="T107" s="132"/>
      <c r="U107" s="132"/>
      <c r="V107" s="132"/>
      <c r="W107" s="132"/>
      <c r="X107" s="132"/>
      <c r="Y107" s="132"/>
      <c r="Z107" s="132"/>
      <c r="AA107" s="132"/>
    </row>
    <row r="110" spans="1:27" ht="15.75" thickBot="1">
      <c r="A110" s="656" t="s">
        <v>547</v>
      </c>
      <c r="B110" s="656"/>
      <c r="C110" s="656"/>
      <c r="D110" s="656"/>
      <c r="E110" s="656"/>
      <c r="F110" s="656"/>
      <c r="G110" s="656"/>
      <c r="O110" s="656" t="s">
        <v>547</v>
      </c>
      <c r="P110" s="656"/>
      <c r="Q110" s="656"/>
      <c r="R110" s="656"/>
      <c r="S110" s="656"/>
      <c r="T110" s="656"/>
      <c r="U110" s="656"/>
    </row>
    <row r="111" spans="1:27">
      <c r="A111" s="543"/>
      <c r="B111" s="733" t="s">
        <v>548</v>
      </c>
      <c r="C111" s="733"/>
      <c r="D111" s="658" t="s">
        <v>166</v>
      </c>
      <c r="E111" s="658"/>
      <c r="F111" s="761" t="s">
        <v>267</v>
      </c>
      <c r="G111" s="762"/>
      <c r="O111" s="543"/>
      <c r="P111" s="733" t="s">
        <v>548</v>
      </c>
      <c r="Q111" s="733"/>
      <c r="R111" s="658" t="s">
        <v>166</v>
      </c>
      <c r="S111" s="658"/>
      <c r="T111" s="761" t="s">
        <v>267</v>
      </c>
      <c r="U111" s="762"/>
    </row>
    <row r="112" spans="1:27">
      <c r="A112" s="550"/>
      <c r="B112" s="223" t="s">
        <v>151</v>
      </c>
      <c r="C112" s="223" t="s">
        <v>153</v>
      </c>
      <c r="D112" s="219" t="s">
        <v>151</v>
      </c>
      <c r="E112" s="219" t="s">
        <v>153</v>
      </c>
      <c r="F112" s="219" t="s">
        <v>151</v>
      </c>
      <c r="G112" s="221" t="s">
        <v>153</v>
      </c>
      <c r="O112" s="550"/>
      <c r="P112" s="223" t="s">
        <v>151</v>
      </c>
      <c r="Q112" s="223" t="s">
        <v>153</v>
      </c>
      <c r="R112" s="219" t="s">
        <v>151</v>
      </c>
      <c r="S112" s="219" t="s">
        <v>153</v>
      </c>
      <c r="T112" s="219" t="s">
        <v>151</v>
      </c>
      <c r="U112" s="221" t="s">
        <v>153</v>
      </c>
    </row>
    <row r="113" spans="1:23" ht="45">
      <c r="A113" s="209" t="s">
        <v>529</v>
      </c>
      <c r="B113" s="198">
        <v>2277.6179999999999</v>
      </c>
      <c r="C113" s="198">
        <v>1029.7429999999999</v>
      </c>
      <c r="D113" s="198">
        <v>1055.175</v>
      </c>
      <c r="E113" s="198">
        <v>0</v>
      </c>
      <c r="F113" s="198">
        <v>1360.963</v>
      </c>
      <c r="G113" s="202">
        <v>0</v>
      </c>
      <c r="O113" s="209" t="s">
        <v>529</v>
      </c>
      <c r="P113" s="198">
        <v>2809.413</v>
      </c>
      <c r="Q113" s="198">
        <v>1248.7180000000001</v>
      </c>
      <c r="R113" s="198">
        <v>1199.921</v>
      </c>
      <c r="S113" s="198">
        <v>0</v>
      </c>
      <c r="T113" s="198">
        <v>1360.963</v>
      </c>
      <c r="U113" s="202">
        <v>0</v>
      </c>
    </row>
    <row r="114" spans="1:23" ht="45">
      <c r="A114" s="209" t="s">
        <v>530</v>
      </c>
      <c r="B114" s="198">
        <v>2218.317</v>
      </c>
      <c r="C114" s="198">
        <v>1040.202</v>
      </c>
      <c r="D114" s="198">
        <v>920.67769999999996</v>
      </c>
      <c r="E114" s="198">
        <v>0</v>
      </c>
      <c r="F114" s="198">
        <v>1245.2760000000001</v>
      </c>
      <c r="G114" s="202">
        <v>0</v>
      </c>
      <c r="O114" s="209" t="s">
        <v>530</v>
      </c>
      <c r="P114" s="198">
        <v>2829.3670000000002</v>
      </c>
      <c r="Q114" s="198">
        <v>1312.7539999999999</v>
      </c>
      <c r="R114" s="198">
        <v>1069.152</v>
      </c>
      <c r="S114" s="198">
        <v>0</v>
      </c>
      <c r="T114" s="198">
        <v>1245.2760000000001</v>
      </c>
      <c r="U114" s="202">
        <v>0</v>
      </c>
    </row>
    <row r="115" spans="1:23" ht="45">
      <c r="A115" s="209" t="s">
        <v>531</v>
      </c>
      <c r="B115" s="198">
        <v>2495.759</v>
      </c>
      <c r="C115" s="198">
        <v>1919.3230000000001</v>
      </c>
      <c r="D115" s="198">
        <v>873.54269999999997</v>
      </c>
      <c r="E115" s="198">
        <v>0</v>
      </c>
      <c r="F115" s="198">
        <v>1279.3320000000001</v>
      </c>
      <c r="G115" s="202">
        <v>0</v>
      </c>
      <c r="O115" s="209" t="s">
        <v>531</v>
      </c>
      <c r="P115" s="198">
        <v>3140.4810000000002</v>
      </c>
      <c r="Q115" s="198">
        <v>2393.4549999999999</v>
      </c>
      <c r="R115" s="198">
        <v>1072.404</v>
      </c>
      <c r="S115" s="198">
        <v>0</v>
      </c>
      <c r="T115" s="198">
        <v>1279.3320000000001</v>
      </c>
      <c r="U115" s="202">
        <v>0</v>
      </c>
    </row>
    <row r="116" spans="1:23" ht="45">
      <c r="A116" s="209" t="s">
        <v>532</v>
      </c>
      <c r="B116" s="198">
        <v>3348.1120000000001</v>
      </c>
      <c r="C116" s="198">
        <v>3055.1869999999999</v>
      </c>
      <c r="D116" s="198">
        <v>825.11130000000003</v>
      </c>
      <c r="E116" s="198">
        <v>0</v>
      </c>
      <c r="F116" s="198">
        <v>1456.2270000000001</v>
      </c>
      <c r="G116" s="202">
        <v>19.433350000000001</v>
      </c>
      <c r="O116" s="209" t="s">
        <v>532</v>
      </c>
      <c r="P116" s="198">
        <v>4251.7939999999999</v>
      </c>
      <c r="Q116" s="198">
        <v>4232.692</v>
      </c>
      <c r="R116" s="198">
        <v>1145.4079999999999</v>
      </c>
      <c r="S116" s="198">
        <v>0</v>
      </c>
      <c r="T116" s="198">
        <v>1456.2270000000001</v>
      </c>
      <c r="U116" s="202">
        <v>19.433350000000001</v>
      </c>
    </row>
    <row r="117" spans="1:23">
      <c r="A117" s="210" t="s">
        <v>533</v>
      </c>
      <c r="B117" s="198">
        <v>4527.6149999999998</v>
      </c>
      <c r="C117" s="198">
        <v>4298.067</v>
      </c>
      <c r="D117" s="198">
        <v>742.33969999999999</v>
      </c>
      <c r="E117" s="198">
        <v>0</v>
      </c>
      <c r="F117" s="198">
        <v>1689.2070000000001</v>
      </c>
      <c r="G117" s="202">
        <v>216.87010000000001</v>
      </c>
      <c r="O117" s="210" t="s">
        <v>533</v>
      </c>
      <c r="P117" s="198">
        <v>5985.2420000000002</v>
      </c>
      <c r="Q117" s="198">
        <v>5782.4290000000001</v>
      </c>
      <c r="R117" s="198">
        <v>1211.5619999999999</v>
      </c>
      <c r="S117" s="198">
        <v>0</v>
      </c>
      <c r="T117" s="198">
        <v>1689.2070000000001</v>
      </c>
      <c r="U117" s="202">
        <v>216.87010000000001</v>
      </c>
    </row>
    <row r="118" spans="1:23" ht="30">
      <c r="A118" s="209" t="s">
        <v>534</v>
      </c>
      <c r="B118" s="198">
        <v>5697.8549999999996</v>
      </c>
      <c r="C118" s="198">
        <v>4976.8890000000001</v>
      </c>
      <c r="D118" s="198">
        <v>555.68209999999999</v>
      </c>
      <c r="E118" s="198">
        <v>0</v>
      </c>
      <c r="F118" s="198">
        <v>1841.97</v>
      </c>
      <c r="G118" s="202">
        <v>201.57429999999999</v>
      </c>
      <c r="O118" s="209" t="s">
        <v>534</v>
      </c>
      <c r="P118" s="198">
        <v>7879.1989999999996</v>
      </c>
      <c r="Q118" s="198">
        <v>6972.2079999999996</v>
      </c>
      <c r="R118" s="198">
        <v>1170.7349999999999</v>
      </c>
      <c r="S118" s="198">
        <v>0</v>
      </c>
      <c r="T118" s="198">
        <v>1841.97</v>
      </c>
      <c r="U118" s="202">
        <v>201.57429999999999</v>
      </c>
    </row>
    <row r="119" spans="1:23" ht="30">
      <c r="A119" s="209" t="s">
        <v>535</v>
      </c>
      <c r="B119" s="198">
        <v>5381.3590000000004</v>
      </c>
      <c r="C119" s="198">
        <v>4968.2640000000001</v>
      </c>
      <c r="D119" s="198">
        <v>861.505</v>
      </c>
      <c r="E119" s="198">
        <v>0</v>
      </c>
      <c r="F119" s="198">
        <v>1992.123</v>
      </c>
      <c r="G119" s="202">
        <v>316.49680000000001</v>
      </c>
      <c r="O119" s="209" t="s">
        <v>535</v>
      </c>
      <c r="P119" s="198">
        <v>7528.5590000000002</v>
      </c>
      <c r="Q119" s="198">
        <v>7064.8559999999998</v>
      </c>
      <c r="R119" s="198">
        <v>1376.568</v>
      </c>
      <c r="S119" s="198">
        <v>0</v>
      </c>
      <c r="T119" s="198">
        <v>1992.123</v>
      </c>
      <c r="U119" s="202">
        <v>316.49680000000001</v>
      </c>
    </row>
    <row r="120" spans="1:23" ht="30">
      <c r="A120" s="209" t="s">
        <v>536</v>
      </c>
      <c r="B120" s="198">
        <v>5129.5959999999995</v>
      </c>
      <c r="C120" s="198">
        <v>4873.6660000000002</v>
      </c>
      <c r="D120" s="198">
        <v>1100.318</v>
      </c>
      <c r="E120" s="198">
        <v>0</v>
      </c>
      <c r="F120" s="198">
        <v>2108.2220000000002</v>
      </c>
      <c r="G120" s="202">
        <v>343.97280000000001</v>
      </c>
      <c r="O120" s="209" t="s">
        <v>536</v>
      </c>
      <c r="P120" s="198">
        <v>7157.973</v>
      </c>
      <c r="Q120" s="198">
        <v>6958.6949999999997</v>
      </c>
      <c r="R120" s="198">
        <v>1546.777</v>
      </c>
      <c r="S120" s="198">
        <v>0</v>
      </c>
      <c r="T120" s="198">
        <v>2108.2220000000002</v>
      </c>
      <c r="U120" s="202">
        <v>343.97280000000001</v>
      </c>
    </row>
    <row r="121" spans="1:23" ht="30.75" thickBot="1">
      <c r="A121" s="211" t="s">
        <v>537</v>
      </c>
      <c r="B121" s="203">
        <v>4901.3760000000002</v>
      </c>
      <c r="C121" s="203">
        <v>4715.1369999999997</v>
      </c>
      <c r="D121" s="203">
        <v>1172.71</v>
      </c>
      <c r="E121" s="203">
        <v>0</v>
      </c>
      <c r="F121" s="203">
        <v>2105.4169999999999</v>
      </c>
      <c r="G121" s="204">
        <v>257.59750000000003</v>
      </c>
      <c r="O121" s="211" t="s">
        <v>537</v>
      </c>
      <c r="P121" s="203">
        <v>6692.3670000000002</v>
      </c>
      <c r="Q121" s="203">
        <v>6514.4859999999999</v>
      </c>
      <c r="R121" s="203">
        <v>1595.4280000000001</v>
      </c>
      <c r="S121" s="203">
        <v>0</v>
      </c>
      <c r="T121" s="203">
        <v>2105.4169999999999</v>
      </c>
      <c r="U121" s="204">
        <v>257.59750000000003</v>
      </c>
    </row>
    <row r="123" spans="1:23" ht="15.75" thickBot="1"/>
    <row r="124" spans="1:23" ht="30">
      <c r="A124" s="311"/>
      <c r="B124" s="312" t="s">
        <v>307</v>
      </c>
      <c r="C124" s="312" t="s">
        <v>281</v>
      </c>
      <c r="D124" s="161" t="s">
        <v>528</v>
      </c>
      <c r="E124" s="313" t="s">
        <v>551</v>
      </c>
      <c r="F124" s="313" t="s">
        <v>552</v>
      </c>
      <c r="G124" s="313" t="s">
        <v>553</v>
      </c>
      <c r="H124" s="313" t="s">
        <v>554</v>
      </c>
      <c r="I124" s="314" t="s">
        <v>555</v>
      </c>
      <c r="O124" s="315"/>
      <c r="P124" s="238" t="s">
        <v>307</v>
      </c>
      <c r="Q124" s="240" t="s">
        <v>281</v>
      </c>
      <c r="R124" s="316" t="s">
        <v>528</v>
      </c>
      <c r="S124" s="313" t="s">
        <v>551</v>
      </c>
      <c r="T124" s="313" t="s">
        <v>552</v>
      </c>
      <c r="U124" s="313" t="s">
        <v>553</v>
      </c>
      <c r="V124" s="316" t="s">
        <v>554</v>
      </c>
      <c r="W124" s="314" t="s">
        <v>555</v>
      </c>
    </row>
    <row r="125" spans="1:23">
      <c r="A125" s="751" t="s">
        <v>564</v>
      </c>
      <c r="B125" s="302">
        <v>1295</v>
      </c>
      <c r="C125" s="307">
        <f>B125/5177</f>
        <v>0.25014487154722814</v>
      </c>
      <c r="D125" s="206" t="s">
        <v>50</v>
      </c>
      <c r="E125" s="317">
        <v>13400000</v>
      </c>
      <c r="F125" s="317">
        <v>27300000</v>
      </c>
      <c r="G125" s="317">
        <v>24900000</v>
      </c>
      <c r="H125" s="317">
        <v>25100000</v>
      </c>
      <c r="I125" s="271">
        <v>25500000</v>
      </c>
      <c r="O125" s="751" t="s">
        <v>565</v>
      </c>
      <c r="P125" s="302">
        <v>518</v>
      </c>
      <c r="Q125" s="307">
        <f>P125/5177</f>
        <v>0.10005794861889125</v>
      </c>
      <c r="R125" s="230" t="s">
        <v>50</v>
      </c>
      <c r="S125" s="317">
        <v>6750087</v>
      </c>
      <c r="T125" s="317">
        <v>15200000</v>
      </c>
      <c r="U125" s="317">
        <v>13400000</v>
      </c>
      <c r="V125" s="197">
        <v>13400000</v>
      </c>
      <c r="W125" s="271">
        <v>12900000</v>
      </c>
    </row>
    <row r="126" spans="1:23">
      <c r="A126" s="751"/>
      <c r="B126" s="302"/>
      <c r="C126" s="295"/>
      <c r="D126" s="206" t="s">
        <v>151</v>
      </c>
      <c r="E126" s="309">
        <v>10339.81</v>
      </c>
      <c r="F126" s="309">
        <v>21110.19</v>
      </c>
      <c r="G126" s="309">
        <v>19251.89</v>
      </c>
      <c r="H126" s="309">
        <v>19387.57</v>
      </c>
      <c r="I126" s="202">
        <v>19712.93</v>
      </c>
      <c r="O126" s="751"/>
      <c r="P126" s="302"/>
      <c r="Q126" s="295"/>
      <c r="R126" s="230" t="s">
        <v>151</v>
      </c>
      <c r="S126" s="309">
        <v>13031.06</v>
      </c>
      <c r="T126" s="309">
        <v>29258.1</v>
      </c>
      <c r="U126" s="309">
        <v>25922.01</v>
      </c>
      <c r="V126" s="199">
        <v>25809.58</v>
      </c>
      <c r="W126" s="202">
        <v>24892.78</v>
      </c>
    </row>
    <row r="127" spans="1:23">
      <c r="A127" s="751"/>
      <c r="B127" s="302"/>
      <c r="C127" s="295"/>
      <c r="D127" s="206" t="s">
        <v>540</v>
      </c>
      <c r="E127" s="309">
        <v>66318.210000000006</v>
      </c>
      <c r="F127" s="309">
        <v>112784</v>
      </c>
      <c r="G127" s="309">
        <v>168605.5</v>
      </c>
      <c r="H127" s="309">
        <v>118811.4</v>
      </c>
      <c r="I127" s="202">
        <v>103779.8</v>
      </c>
      <c r="O127" s="751"/>
      <c r="P127" s="302"/>
      <c r="Q127" s="295"/>
      <c r="R127" s="230" t="s">
        <v>540</v>
      </c>
      <c r="S127" s="309">
        <v>66318.210000000006</v>
      </c>
      <c r="T127" s="309">
        <v>112784</v>
      </c>
      <c r="U127" s="309">
        <v>168605.5</v>
      </c>
      <c r="V127" s="199">
        <v>118811.4</v>
      </c>
      <c r="W127" s="202">
        <v>103779.8</v>
      </c>
    </row>
    <row r="128" spans="1:23">
      <c r="A128" s="751"/>
      <c r="B128" s="302"/>
      <c r="C128" s="295"/>
      <c r="D128" s="206" t="s">
        <v>541</v>
      </c>
      <c r="E128" s="309">
        <v>14926.22</v>
      </c>
      <c r="F128" s="309">
        <v>26337.82</v>
      </c>
      <c r="G128" s="309">
        <v>26938.65</v>
      </c>
      <c r="H128" s="309">
        <v>28062.86</v>
      </c>
      <c r="I128" s="202">
        <v>29792.59</v>
      </c>
      <c r="O128" s="751"/>
      <c r="P128" s="302"/>
      <c r="Q128" s="295"/>
      <c r="R128" s="230" t="s">
        <v>541</v>
      </c>
      <c r="S128" s="309">
        <v>18654.48</v>
      </c>
      <c r="T128" s="309">
        <v>34341.410000000003</v>
      </c>
      <c r="U128" s="309">
        <v>34177.46</v>
      </c>
      <c r="V128" s="199">
        <v>35827.96</v>
      </c>
      <c r="W128" s="202">
        <v>37178.61</v>
      </c>
    </row>
    <row r="129" spans="1:23">
      <c r="A129" s="751"/>
      <c r="B129" s="302"/>
      <c r="C129" s="295"/>
      <c r="D129" s="206" t="s">
        <v>542</v>
      </c>
      <c r="E129" s="309">
        <v>8868.1479999999992</v>
      </c>
      <c r="F129" s="309">
        <v>19189.580000000002</v>
      </c>
      <c r="G129" s="309">
        <v>18097.96</v>
      </c>
      <c r="H129" s="309">
        <v>18449.189999999999</v>
      </c>
      <c r="I129" s="202">
        <v>18728.599999999999</v>
      </c>
      <c r="O129" s="751"/>
      <c r="P129" s="302"/>
      <c r="Q129" s="295"/>
      <c r="R129" s="230" t="s">
        <v>542</v>
      </c>
      <c r="S129" s="309">
        <v>11243.97</v>
      </c>
      <c r="T129" s="309">
        <v>27376.959999999999</v>
      </c>
      <c r="U129" s="309">
        <v>26244.45</v>
      </c>
      <c r="V129" s="199">
        <v>26243.63</v>
      </c>
      <c r="W129" s="202">
        <v>26154.49</v>
      </c>
    </row>
    <row r="130" spans="1:23">
      <c r="A130" s="751"/>
      <c r="B130" s="302"/>
      <c r="C130" s="295"/>
      <c r="D130" s="206" t="s">
        <v>543</v>
      </c>
      <c r="E130" s="309">
        <v>3460.404</v>
      </c>
      <c r="F130" s="309">
        <v>13657.15</v>
      </c>
      <c r="G130" s="309">
        <v>8815.2540000000008</v>
      </c>
      <c r="H130" s="309">
        <v>6234.6059999999998</v>
      </c>
      <c r="I130" s="202">
        <v>4111.2629999999999</v>
      </c>
      <c r="O130" s="751"/>
      <c r="P130" s="302"/>
      <c r="Q130" s="295"/>
      <c r="R130" s="230" t="s">
        <v>543</v>
      </c>
      <c r="S130" s="309">
        <v>4789.5039999999999</v>
      </c>
      <c r="T130" s="309">
        <v>21774.01</v>
      </c>
      <c r="U130" s="309">
        <v>14834.91</v>
      </c>
      <c r="V130" s="199">
        <v>12132.46</v>
      </c>
      <c r="W130" s="202">
        <v>6517.3959999999997</v>
      </c>
    </row>
    <row r="131" spans="1:23">
      <c r="A131" s="752"/>
      <c r="B131" s="303"/>
      <c r="C131" s="296"/>
      <c r="D131" s="249" t="s">
        <v>544</v>
      </c>
      <c r="E131" s="318">
        <v>0</v>
      </c>
      <c r="F131" s="318">
        <v>3426.7640000000001</v>
      </c>
      <c r="G131" s="318">
        <v>0</v>
      </c>
      <c r="H131" s="318">
        <v>0</v>
      </c>
      <c r="I131" s="205">
        <v>0</v>
      </c>
      <c r="O131" s="752"/>
      <c r="P131" s="303"/>
      <c r="Q131" s="296"/>
      <c r="R131" s="253" t="s">
        <v>544</v>
      </c>
      <c r="S131" s="318">
        <v>0</v>
      </c>
      <c r="T131" s="318">
        <v>5843.1980000000003</v>
      </c>
      <c r="U131" s="318">
        <v>0</v>
      </c>
      <c r="V131" s="201">
        <v>0</v>
      </c>
      <c r="W131" s="205">
        <v>0</v>
      </c>
    </row>
    <row r="132" spans="1:23">
      <c r="A132" s="751" t="s">
        <v>166</v>
      </c>
      <c r="B132" s="302">
        <v>3882</v>
      </c>
      <c r="C132" s="307">
        <f>B132/5177</f>
        <v>0.74985512845277191</v>
      </c>
      <c r="D132" s="206" t="s">
        <v>50</v>
      </c>
      <c r="E132" s="317">
        <v>14300000</v>
      </c>
      <c r="F132" s="317">
        <v>14300000</v>
      </c>
      <c r="G132" s="317">
        <v>21300000</v>
      </c>
      <c r="H132" s="317">
        <v>24800000</v>
      </c>
      <c r="I132" s="271">
        <v>27200000</v>
      </c>
      <c r="O132" s="751" t="s">
        <v>166</v>
      </c>
      <c r="P132" s="301">
        <v>4659</v>
      </c>
      <c r="Q132" s="294">
        <f>P132/5177</f>
        <v>0.89994205138110872</v>
      </c>
      <c r="R132" s="292" t="s">
        <v>50</v>
      </c>
      <c r="S132" s="317">
        <v>20900000</v>
      </c>
      <c r="T132" s="317">
        <v>26500000</v>
      </c>
      <c r="U132" s="317">
        <v>32800000</v>
      </c>
      <c r="V132" s="197">
        <v>36500000</v>
      </c>
      <c r="W132" s="271">
        <v>39800000</v>
      </c>
    </row>
    <row r="133" spans="1:23">
      <c r="A133" s="751"/>
      <c r="B133" s="214"/>
      <c r="C133" s="230"/>
      <c r="D133" s="206" t="s">
        <v>151</v>
      </c>
      <c r="E133" s="309">
        <v>3674.5070000000001</v>
      </c>
      <c r="F133" s="309">
        <v>3690.2159999999999</v>
      </c>
      <c r="G133" s="309">
        <v>5481.6180000000004</v>
      </c>
      <c r="H133" s="309">
        <v>6380.7060000000001</v>
      </c>
      <c r="I133" s="202">
        <v>7000.2179999999998</v>
      </c>
      <c r="O133" s="751"/>
      <c r="P133" s="214"/>
      <c r="Q133" s="230"/>
      <c r="R133" s="230" t="s">
        <v>151</v>
      </c>
      <c r="S133" s="309">
        <v>4486.8860000000004</v>
      </c>
      <c r="T133" s="309">
        <v>5689.5069999999996</v>
      </c>
      <c r="U133" s="309">
        <v>7036.5410000000002</v>
      </c>
      <c r="V133" s="199">
        <v>7835.8969999999999</v>
      </c>
      <c r="W133" s="202">
        <v>8544.4570000000003</v>
      </c>
    </row>
    <row r="134" spans="1:23">
      <c r="A134" s="751"/>
      <c r="B134" s="302"/>
      <c r="C134" s="295"/>
      <c r="D134" s="206" t="s">
        <v>540</v>
      </c>
      <c r="E134" s="309">
        <v>61993.73</v>
      </c>
      <c r="F134" s="309">
        <v>39197.120000000003</v>
      </c>
      <c r="G134" s="309">
        <v>67349.16</v>
      </c>
      <c r="H134" s="309">
        <v>83302.33</v>
      </c>
      <c r="I134" s="202">
        <v>79663.98</v>
      </c>
      <c r="O134" s="751"/>
      <c r="P134" s="302"/>
      <c r="Q134" s="295"/>
      <c r="R134" s="230" t="s">
        <v>540</v>
      </c>
      <c r="S134" s="309">
        <v>61993.73</v>
      </c>
      <c r="T134" s="309">
        <v>60343.64</v>
      </c>
      <c r="U134" s="309">
        <v>131555.9</v>
      </c>
      <c r="V134" s="199">
        <v>107625.5</v>
      </c>
      <c r="W134" s="202">
        <v>91793.11</v>
      </c>
    </row>
    <row r="135" spans="1:23">
      <c r="A135" s="751"/>
      <c r="B135" s="302"/>
      <c r="C135" s="295"/>
      <c r="D135" s="206" t="s">
        <v>541</v>
      </c>
      <c r="E135" s="309">
        <v>4953.8389999999999</v>
      </c>
      <c r="F135" s="309">
        <v>6087.8159999999998</v>
      </c>
      <c r="G135" s="309">
        <v>8662.4390000000003</v>
      </c>
      <c r="H135" s="309">
        <v>10439.93</v>
      </c>
      <c r="I135" s="202">
        <v>11500.16</v>
      </c>
      <c r="O135" s="751"/>
      <c r="P135" s="302"/>
      <c r="Q135" s="295"/>
      <c r="R135" s="230" t="s">
        <v>541</v>
      </c>
      <c r="S135" s="309">
        <v>6859.393</v>
      </c>
      <c r="T135" s="309">
        <v>9884.1640000000007</v>
      </c>
      <c r="U135" s="309">
        <v>12172.48</v>
      </c>
      <c r="V135" s="199">
        <v>13172.57</v>
      </c>
      <c r="W135" s="202">
        <v>14786.92</v>
      </c>
    </row>
    <row r="136" spans="1:23">
      <c r="A136" s="751"/>
      <c r="B136" s="302"/>
      <c r="C136" s="295"/>
      <c r="D136" s="206" t="s">
        <v>542</v>
      </c>
      <c r="E136" s="309">
        <v>875.6105</v>
      </c>
      <c r="F136" s="309">
        <v>839.54759999999999</v>
      </c>
      <c r="G136" s="309">
        <v>902.33309999999994</v>
      </c>
      <c r="H136" s="309">
        <v>970.01580000000001</v>
      </c>
      <c r="I136" s="202">
        <v>912.49559999999997</v>
      </c>
      <c r="O136" s="751"/>
      <c r="P136" s="302"/>
      <c r="Q136" s="295"/>
      <c r="R136" s="230" t="s">
        <v>542</v>
      </c>
      <c r="S136" s="309">
        <v>1649.421</v>
      </c>
      <c r="T136" s="309">
        <v>2447.9989999999998</v>
      </c>
      <c r="U136" s="309">
        <v>2441.8180000000002</v>
      </c>
      <c r="V136" s="199">
        <v>2590.011</v>
      </c>
      <c r="W136" s="202">
        <v>2281.7399999999998</v>
      </c>
    </row>
    <row r="137" spans="1:23">
      <c r="A137" s="751"/>
      <c r="B137" s="302"/>
      <c r="C137" s="295"/>
      <c r="D137" s="206" t="s">
        <v>543</v>
      </c>
      <c r="E137" s="309">
        <v>0</v>
      </c>
      <c r="F137" s="309">
        <v>0</v>
      </c>
      <c r="G137" s="309">
        <v>0</v>
      </c>
      <c r="H137" s="309">
        <v>0</v>
      </c>
      <c r="I137" s="202">
        <v>0</v>
      </c>
      <c r="O137" s="751"/>
      <c r="P137" s="302"/>
      <c r="Q137" s="295"/>
      <c r="R137" s="230" t="s">
        <v>543</v>
      </c>
      <c r="S137" s="309">
        <v>0</v>
      </c>
      <c r="T137" s="309">
        <v>0</v>
      </c>
      <c r="U137" s="309">
        <v>0</v>
      </c>
      <c r="V137" s="199">
        <v>0</v>
      </c>
      <c r="W137" s="202">
        <v>0</v>
      </c>
    </row>
    <row r="138" spans="1:23">
      <c r="A138" s="751"/>
      <c r="B138" s="302"/>
      <c r="C138" s="295"/>
      <c r="D138" s="206" t="s">
        <v>544</v>
      </c>
      <c r="E138" s="318">
        <v>0</v>
      </c>
      <c r="F138" s="318">
        <v>0</v>
      </c>
      <c r="G138" s="318">
        <v>0</v>
      </c>
      <c r="H138" s="318">
        <v>0</v>
      </c>
      <c r="I138" s="205">
        <v>0</v>
      </c>
      <c r="O138" s="751"/>
      <c r="P138" s="303"/>
      <c r="Q138" s="296"/>
      <c r="R138" s="253" t="s">
        <v>544</v>
      </c>
      <c r="S138" s="318">
        <v>0</v>
      </c>
      <c r="T138" s="318">
        <v>0</v>
      </c>
      <c r="U138" s="318">
        <v>0</v>
      </c>
      <c r="V138" s="201">
        <v>0</v>
      </c>
      <c r="W138" s="205">
        <v>0</v>
      </c>
    </row>
    <row r="139" spans="1:23">
      <c r="A139" s="753" t="s">
        <v>267</v>
      </c>
      <c r="B139" s="306">
        <v>5177</v>
      </c>
      <c r="C139" s="308">
        <v>1</v>
      </c>
      <c r="D139" s="259" t="s">
        <v>50</v>
      </c>
      <c r="E139" s="309">
        <v>27700000</v>
      </c>
      <c r="F139" s="309">
        <v>41700000</v>
      </c>
      <c r="G139" s="309">
        <v>46200000</v>
      </c>
      <c r="H139" s="309">
        <v>49900000</v>
      </c>
      <c r="I139" s="202">
        <v>52700000</v>
      </c>
      <c r="O139" s="753" t="s">
        <v>267</v>
      </c>
      <c r="P139" s="304">
        <v>5177</v>
      </c>
      <c r="Q139" s="297">
        <v>1</v>
      </c>
      <c r="R139" s="230" t="s">
        <v>50</v>
      </c>
      <c r="S139" s="309">
        <v>27700000</v>
      </c>
      <c r="T139" s="309">
        <v>41700000</v>
      </c>
      <c r="U139" s="309">
        <v>46200000</v>
      </c>
      <c r="V139" s="199">
        <v>49900000</v>
      </c>
      <c r="W139" s="202">
        <v>52700000</v>
      </c>
    </row>
    <row r="140" spans="1:23">
      <c r="A140" s="754"/>
      <c r="B140" s="214"/>
      <c r="C140" s="230"/>
      <c r="D140" s="206" t="s">
        <v>151</v>
      </c>
      <c r="E140" s="309">
        <v>5341.7979999999998</v>
      </c>
      <c r="F140" s="309">
        <v>8047.732</v>
      </c>
      <c r="G140" s="309">
        <v>8926.1820000000007</v>
      </c>
      <c r="H140" s="309">
        <v>9634.3070000000007</v>
      </c>
      <c r="I140" s="202">
        <v>10180.24</v>
      </c>
      <c r="O140" s="754"/>
      <c r="P140" s="214"/>
      <c r="Q140" s="230"/>
      <c r="R140" s="230" t="s">
        <v>151</v>
      </c>
      <c r="S140" s="309">
        <v>5341.7979999999998</v>
      </c>
      <c r="T140" s="309">
        <v>8047.732</v>
      </c>
      <c r="U140" s="309">
        <v>8926.1820000000007</v>
      </c>
      <c r="V140" s="199">
        <v>9634.3070000000007</v>
      </c>
      <c r="W140" s="202">
        <v>10180.24</v>
      </c>
    </row>
    <row r="141" spans="1:23">
      <c r="A141" s="754"/>
      <c r="B141" s="304"/>
      <c r="C141" s="298"/>
      <c r="D141" s="206" t="s">
        <v>540</v>
      </c>
      <c r="E141" s="309">
        <v>66318.210000000006</v>
      </c>
      <c r="F141" s="309">
        <v>112784</v>
      </c>
      <c r="G141" s="309">
        <v>168605.5</v>
      </c>
      <c r="H141" s="309">
        <v>118811.4</v>
      </c>
      <c r="I141" s="202">
        <v>103779.8</v>
      </c>
      <c r="O141" s="754"/>
      <c r="P141" s="304"/>
      <c r="Q141" s="298"/>
      <c r="R141" s="230" t="s">
        <v>540</v>
      </c>
      <c r="S141" s="309">
        <v>66318.210000000006</v>
      </c>
      <c r="T141" s="309">
        <v>112784</v>
      </c>
      <c r="U141" s="309">
        <v>168605.5</v>
      </c>
      <c r="V141" s="199">
        <v>118811.4</v>
      </c>
      <c r="W141" s="202">
        <v>103779.8</v>
      </c>
    </row>
    <row r="142" spans="1:23">
      <c r="A142" s="754"/>
      <c r="B142" s="304"/>
      <c r="C142" s="298"/>
      <c r="D142" s="206" t="s">
        <v>541</v>
      </c>
      <c r="E142" s="309">
        <v>8155.1440000000002</v>
      </c>
      <c r="F142" s="309">
        <v>12907.16</v>
      </c>
      <c r="G142" s="309">
        <v>14737.77</v>
      </c>
      <c r="H142" s="309">
        <v>16014.65</v>
      </c>
      <c r="I142" s="202">
        <v>17499.060000000001</v>
      </c>
      <c r="O142" s="754"/>
      <c r="P142" s="304"/>
      <c r="Q142" s="298"/>
      <c r="R142" s="230" t="s">
        <v>541</v>
      </c>
      <c r="S142" s="309">
        <v>8155.1440000000002</v>
      </c>
      <c r="T142" s="309">
        <v>12907.16</v>
      </c>
      <c r="U142" s="309">
        <v>14737.77</v>
      </c>
      <c r="V142" s="199">
        <v>16014.65</v>
      </c>
      <c r="W142" s="202">
        <v>17499.060000000001</v>
      </c>
    </row>
    <row r="143" spans="1:23">
      <c r="A143" s="754"/>
      <c r="B143" s="304"/>
      <c r="C143" s="298"/>
      <c r="D143" s="206" t="s">
        <v>542</v>
      </c>
      <c r="E143" s="309">
        <v>2226.212</v>
      </c>
      <c r="F143" s="309">
        <v>3760.0929999999998</v>
      </c>
      <c r="G143" s="309">
        <v>3824.424</v>
      </c>
      <c r="H143" s="309">
        <v>3958.1669999999999</v>
      </c>
      <c r="I143" s="202">
        <v>3640.0070000000001</v>
      </c>
      <c r="O143" s="754"/>
      <c r="P143" s="304"/>
      <c r="Q143" s="298"/>
      <c r="R143" s="230" t="s">
        <v>542</v>
      </c>
      <c r="S143" s="309">
        <v>2226.212</v>
      </c>
      <c r="T143" s="309">
        <v>3760.0929999999998</v>
      </c>
      <c r="U143" s="309">
        <v>3824.424</v>
      </c>
      <c r="V143" s="199">
        <v>3958.1669999999999</v>
      </c>
      <c r="W143" s="202">
        <v>3640.0070000000001</v>
      </c>
    </row>
    <row r="144" spans="1:23">
      <c r="A144" s="754"/>
      <c r="B144" s="304"/>
      <c r="C144" s="298"/>
      <c r="D144" s="206" t="s">
        <v>543</v>
      </c>
      <c r="E144" s="309">
        <v>0</v>
      </c>
      <c r="F144" s="309">
        <v>0</v>
      </c>
      <c r="G144" s="309">
        <v>0</v>
      </c>
      <c r="H144" s="309">
        <v>0</v>
      </c>
      <c r="I144" s="202">
        <v>0</v>
      </c>
      <c r="O144" s="754"/>
      <c r="P144" s="304"/>
      <c r="Q144" s="298"/>
      <c r="R144" s="230" t="s">
        <v>543</v>
      </c>
      <c r="S144" s="309">
        <v>0</v>
      </c>
      <c r="T144" s="309">
        <v>0</v>
      </c>
      <c r="U144" s="309">
        <v>0</v>
      </c>
      <c r="V144" s="199">
        <v>0</v>
      </c>
      <c r="W144" s="202">
        <v>0</v>
      </c>
    </row>
    <row r="145" spans="1:23" ht="15.75" thickBot="1">
      <c r="A145" s="755"/>
      <c r="B145" s="305"/>
      <c r="C145" s="299"/>
      <c r="D145" s="261" t="s">
        <v>544</v>
      </c>
      <c r="E145" s="310">
        <v>0</v>
      </c>
      <c r="F145" s="310">
        <v>0</v>
      </c>
      <c r="G145" s="310">
        <v>0</v>
      </c>
      <c r="H145" s="310">
        <v>0</v>
      </c>
      <c r="I145" s="204">
        <v>0</v>
      </c>
      <c r="O145" s="755"/>
      <c r="P145" s="305"/>
      <c r="Q145" s="299"/>
      <c r="R145" s="263" t="s">
        <v>544</v>
      </c>
      <c r="S145" s="310">
        <v>0</v>
      </c>
      <c r="T145" s="310">
        <v>0</v>
      </c>
      <c r="U145" s="203">
        <v>0</v>
      </c>
      <c r="V145" s="289">
        <v>0</v>
      </c>
      <c r="W145" s="204">
        <v>0</v>
      </c>
    </row>
    <row r="147" spans="1:23" ht="15.75" thickBot="1"/>
    <row r="148" spans="1:23">
      <c r="A148" s="274"/>
      <c r="B148" s="763" t="s">
        <v>548</v>
      </c>
      <c r="C148" s="763"/>
      <c r="D148" s="757" t="s">
        <v>166</v>
      </c>
      <c r="E148" s="757"/>
      <c r="F148" s="737" t="s">
        <v>267</v>
      </c>
      <c r="G148" s="738"/>
      <c r="O148" s="274"/>
      <c r="P148" s="763" t="s">
        <v>548</v>
      </c>
      <c r="Q148" s="763"/>
      <c r="R148" s="757" t="s">
        <v>166</v>
      </c>
      <c r="S148" s="757"/>
      <c r="T148" s="737" t="s">
        <v>267</v>
      </c>
      <c r="U148" s="738"/>
    </row>
    <row r="149" spans="1:23">
      <c r="A149" s="187"/>
      <c r="B149" s="223" t="s">
        <v>151</v>
      </c>
      <c r="C149" s="223" t="s">
        <v>153</v>
      </c>
      <c r="D149" s="219" t="s">
        <v>151</v>
      </c>
      <c r="E149" s="219" t="s">
        <v>153</v>
      </c>
      <c r="F149" s="219" t="s">
        <v>151</v>
      </c>
      <c r="G149" s="221" t="s">
        <v>153</v>
      </c>
      <c r="O149" s="187"/>
      <c r="P149" s="223" t="s">
        <v>151</v>
      </c>
      <c r="Q149" s="223" t="s">
        <v>153</v>
      </c>
      <c r="R149" s="219" t="s">
        <v>151</v>
      </c>
      <c r="S149" s="219" t="s">
        <v>153</v>
      </c>
      <c r="T149" s="219" t="s">
        <v>151</v>
      </c>
      <c r="U149" s="221" t="s">
        <v>153</v>
      </c>
    </row>
    <row r="150" spans="1:23" ht="45">
      <c r="A150" s="143" t="s">
        <v>551</v>
      </c>
      <c r="B150" s="198">
        <v>10339.81</v>
      </c>
      <c r="C150" s="198">
        <v>8868.1479999999992</v>
      </c>
      <c r="D150" s="198">
        <v>3674.5070000000001</v>
      </c>
      <c r="E150" s="198">
        <v>875.6105</v>
      </c>
      <c r="F150" s="198">
        <v>5341.7979999999998</v>
      </c>
      <c r="G150" s="202">
        <v>2226.212</v>
      </c>
      <c r="O150" s="143" t="s">
        <v>551</v>
      </c>
      <c r="P150" s="198">
        <v>13031.06</v>
      </c>
      <c r="Q150" s="198">
        <v>11243.97</v>
      </c>
      <c r="R150" s="198">
        <v>4486.8860000000004</v>
      </c>
      <c r="S150" s="198">
        <v>1649.421</v>
      </c>
      <c r="T150" s="198">
        <v>5341.7979999999998</v>
      </c>
      <c r="U150" s="202">
        <v>2226.212</v>
      </c>
    </row>
    <row r="151" spans="1:23" ht="30">
      <c r="A151" s="143" t="s">
        <v>552</v>
      </c>
      <c r="B151" s="198">
        <v>21110.19</v>
      </c>
      <c r="C151" s="198">
        <v>19189.580000000002</v>
      </c>
      <c r="D151" s="198">
        <v>3690.2159999999999</v>
      </c>
      <c r="E151" s="198">
        <v>839.54759999999999</v>
      </c>
      <c r="F151" s="198">
        <v>8047.732</v>
      </c>
      <c r="G151" s="202">
        <v>3760.0929999999998</v>
      </c>
      <c r="O151" s="143" t="s">
        <v>552</v>
      </c>
      <c r="P151" s="198">
        <v>29258.1</v>
      </c>
      <c r="Q151" s="198">
        <v>27376.959999999999</v>
      </c>
      <c r="R151" s="198">
        <v>5689.5069999999996</v>
      </c>
      <c r="S151" s="198">
        <v>2447.9989999999998</v>
      </c>
      <c r="T151" s="198">
        <v>8047.732</v>
      </c>
      <c r="U151" s="202">
        <v>3760.0929999999998</v>
      </c>
    </row>
    <row r="152" spans="1:23" ht="45">
      <c r="A152" s="143" t="s">
        <v>553</v>
      </c>
      <c r="B152" s="198">
        <v>19251.89</v>
      </c>
      <c r="C152" s="198">
        <v>18097.96</v>
      </c>
      <c r="D152" s="198">
        <v>5481.6180000000004</v>
      </c>
      <c r="E152" s="198">
        <v>902.33309999999994</v>
      </c>
      <c r="F152" s="198">
        <v>8926.1820000000007</v>
      </c>
      <c r="G152" s="202">
        <v>3824.424</v>
      </c>
      <c r="O152" s="143" t="s">
        <v>553</v>
      </c>
      <c r="P152" s="198">
        <v>25922.01</v>
      </c>
      <c r="Q152" s="198">
        <v>26244.45</v>
      </c>
      <c r="R152" s="198">
        <v>7036.5410000000002</v>
      </c>
      <c r="S152" s="198">
        <v>2441.8180000000002</v>
      </c>
      <c r="T152" s="198">
        <v>8926.1820000000007</v>
      </c>
      <c r="U152" s="202">
        <v>3824.424</v>
      </c>
    </row>
    <row r="153" spans="1:23" ht="30">
      <c r="A153" s="143" t="s">
        <v>554</v>
      </c>
      <c r="B153" s="198">
        <v>19387.57</v>
      </c>
      <c r="C153" s="198">
        <v>18449.189999999999</v>
      </c>
      <c r="D153" s="198">
        <v>6380.7060000000001</v>
      </c>
      <c r="E153" s="198">
        <v>970.01580000000001</v>
      </c>
      <c r="F153" s="198">
        <v>9634.3070000000007</v>
      </c>
      <c r="G153" s="202">
        <v>3958.1669999999999</v>
      </c>
      <c r="O153" s="143" t="s">
        <v>554</v>
      </c>
      <c r="P153" s="198">
        <v>25809.58</v>
      </c>
      <c r="Q153" s="198">
        <v>26243.63</v>
      </c>
      <c r="R153" s="198">
        <v>7835.8969999999999</v>
      </c>
      <c r="S153" s="198">
        <v>2590.011</v>
      </c>
      <c r="T153" s="198">
        <v>9634.3070000000007</v>
      </c>
      <c r="U153" s="202">
        <v>3958.1669999999999</v>
      </c>
    </row>
    <row r="154" spans="1:23" ht="30.75" thickBot="1">
      <c r="A154" s="275" t="s">
        <v>555</v>
      </c>
      <c r="B154" s="203">
        <v>19712.93</v>
      </c>
      <c r="C154" s="203">
        <v>18728.599999999999</v>
      </c>
      <c r="D154" s="203">
        <v>7000.2179999999998</v>
      </c>
      <c r="E154" s="203">
        <v>912.49559999999997</v>
      </c>
      <c r="F154" s="203">
        <v>10180.24</v>
      </c>
      <c r="G154" s="204">
        <v>3640.0070000000001</v>
      </c>
      <c r="O154" s="275" t="s">
        <v>555</v>
      </c>
      <c r="P154" s="203">
        <v>24892.78</v>
      </c>
      <c r="Q154" s="203">
        <v>26154.49</v>
      </c>
      <c r="R154" s="203">
        <v>8544.4570000000003</v>
      </c>
      <c r="S154" s="203">
        <v>2281.7399999999998</v>
      </c>
      <c r="T154" s="203">
        <v>10180.24</v>
      </c>
      <c r="U154" s="204">
        <v>3640.0070000000001</v>
      </c>
    </row>
    <row r="156" spans="1:23" s="336" customFormat="1">
      <c r="A156" s="336" t="s">
        <v>566</v>
      </c>
      <c r="E156" s="340"/>
      <c r="F156" s="340"/>
      <c r="G156" s="340"/>
      <c r="H156" s="340"/>
      <c r="I156" s="340"/>
      <c r="J156" s="340"/>
      <c r="K156" s="340"/>
      <c r="L156" s="340"/>
      <c r="M156" s="340"/>
    </row>
    <row r="158" spans="1:23">
      <c r="A158">
        <v>0</v>
      </c>
      <c r="B158">
        <v>806</v>
      </c>
      <c r="C158">
        <v>806</v>
      </c>
      <c r="D158">
        <v>806</v>
      </c>
      <c r="E158">
        <v>806</v>
      </c>
      <c r="F158">
        <v>806</v>
      </c>
      <c r="G158" s="132">
        <v>806</v>
      </c>
      <c r="H158" s="132">
        <v>806</v>
      </c>
      <c r="I158" s="132">
        <v>806</v>
      </c>
      <c r="J158" s="132">
        <v>806</v>
      </c>
      <c r="N158" s="132"/>
      <c r="O158" s="132"/>
    </row>
    <row r="159" spans="1:23">
      <c r="B159">
        <v>95992.25</v>
      </c>
      <c r="C159">
        <v>265937.8</v>
      </c>
      <c r="D159">
        <v>315171.20000000001</v>
      </c>
      <c r="E159">
        <v>334680.40000000002</v>
      </c>
      <c r="F159">
        <v>418628</v>
      </c>
      <c r="G159" s="132">
        <v>635639.9</v>
      </c>
      <c r="H159" s="132">
        <v>817561.1</v>
      </c>
      <c r="I159" s="132">
        <v>923172</v>
      </c>
      <c r="J159" s="132">
        <v>961292.7</v>
      </c>
      <c r="N159" s="132"/>
      <c r="O159" s="132">
        <v>0</v>
      </c>
      <c r="P159">
        <v>1011782</v>
      </c>
      <c r="Q159">
        <v>3337666</v>
      </c>
      <c r="R159">
        <v>4200352</v>
      </c>
      <c r="S159">
        <v>4961646</v>
      </c>
      <c r="T159">
        <v>5599914</v>
      </c>
    </row>
    <row r="160" spans="1:23">
      <c r="B160" s="1">
        <v>119.0971</v>
      </c>
      <c r="C160" s="1">
        <v>329.9477</v>
      </c>
      <c r="D160" s="1">
        <v>391.03129999999999</v>
      </c>
      <c r="E160" s="1">
        <v>415.23630000000003</v>
      </c>
      <c r="F160" s="1">
        <v>519.3895</v>
      </c>
      <c r="G160" s="341">
        <v>788.63509999999997</v>
      </c>
      <c r="H160" s="341">
        <v>1014.3440000000001</v>
      </c>
      <c r="I160" s="341">
        <v>1145.375</v>
      </c>
      <c r="J160" s="341">
        <v>1192.671</v>
      </c>
      <c r="L160" s="109">
        <f>J160/B160-1</f>
        <v>9.0142740671267401</v>
      </c>
      <c r="N160" s="132"/>
      <c r="O160" s="132"/>
      <c r="P160">
        <v>1255.3119999999999</v>
      </c>
      <c r="Q160">
        <v>4141.0240000000003</v>
      </c>
      <c r="R160">
        <v>5211.3540000000003</v>
      </c>
      <c r="S160">
        <v>6155.8890000000001</v>
      </c>
      <c r="T160">
        <v>6947.7839999999997</v>
      </c>
      <c r="U160" s="109">
        <f>T160/P160-1</f>
        <v>4.5347069095173156</v>
      </c>
    </row>
    <row r="161" spans="1:21">
      <c r="B161">
        <v>1425.902</v>
      </c>
      <c r="C161">
        <v>7227.6149999999998</v>
      </c>
      <c r="D161">
        <v>10601.58</v>
      </c>
      <c r="E161">
        <v>10601.58</v>
      </c>
      <c r="F161">
        <v>16329.09</v>
      </c>
      <c r="G161" s="132">
        <v>11893.96</v>
      </c>
      <c r="H161" s="132">
        <v>15857.25</v>
      </c>
      <c r="I161" s="132">
        <v>19843.21</v>
      </c>
      <c r="J161" s="132">
        <v>14383.58</v>
      </c>
      <c r="N161" s="132"/>
      <c r="O161" s="132"/>
      <c r="P161">
        <v>25364.15</v>
      </c>
      <c r="Q161">
        <v>61978</v>
      </c>
      <c r="R161">
        <v>58438.8</v>
      </c>
      <c r="S161">
        <v>86853.7</v>
      </c>
      <c r="T161">
        <v>98741.46</v>
      </c>
    </row>
    <row r="162" spans="1:21">
      <c r="B162">
        <v>0</v>
      </c>
      <c r="C162">
        <v>0</v>
      </c>
      <c r="D162">
        <v>118.76649999999999</v>
      </c>
      <c r="E162">
        <v>138.4879</v>
      </c>
      <c r="F162">
        <v>309.48219999999998</v>
      </c>
      <c r="G162" s="132">
        <v>822.39819999999997</v>
      </c>
      <c r="H162" s="132">
        <v>1307.7449999999999</v>
      </c>
      <c r="I162" s="132">
        <v>1772.1389999999999</v>
      </c>
      <c r="J162" s="132">
        <v>1853.71</v>
      </c>
      <c r="N162" s="132"/>
      <c r="O162" s="132"/>
      <c r="P162">
        <v>1544.54</v>
      </c>
      <c r="Q162">
        <v>6066.6729999999998</v>
      </c>
      <c r="R162">
        <v>7755.8119999999999</v>
      </c>
      <c r="S162">
        <v>9385.7800000000007</v>
      </c>
      <c r="T162">
        <v>11206.43</v>
      </c>
    </row>
    <row r="163" spans="1:21"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341">
        <v>0</v>
      </c>
      <c r="H163" s="341">
        <v>0</v>
      </c>
      <c r="I163" s="341">
        <v>0</v>
      </c>
      <c r="J163" s="341">
        <v>0</v>
      </c>
      <c r="N163" s="132"/>
      <c r="O163" s="132"/>
      <c r="P163">
        <v>61.597630000000002</v>
      </c>
      <c r="Q163">
        <v>752.08759999999995</v>
      </c>
      <c r="R163">
        <v>822.27179999999998</v>
      </c>
      <c r="S163">
        <v>1091.4970000000001</v>
      </c>
      <c r="T163">
        <v>1132.4839999999999</v>
      </c>
      <c r="U163" s="109">
        <f>T163/P163-1</f>
        <v>17.38518787167623</v>
      </c>
    </row>
    <row r="164" spans="1:21">
      <c r="B164">
        <v>0</v>
      </c>
      <c r="C164">
        <v>0</v>
      </c>
      <c r="D164">
        <v>0</v>
      </c>
      <c r="E164">
        <v>0</v>
      </c>
      <c r="F164">
        <v>0</v>
      </c>
      <c r="G164" s="132">
        <v>0</v>
      </c>
      <c r="H164" s="132">
        <v>0</v>
      </c>
      <c r="I164" s="132">
        <v>0</v>
      </c>
      <c r="J164" s="132">
        <v>0</v>
      </c>
      <c r="N164" s="132"/>
      <c r="O164" s="132"/>
      <c r="P164">
        <v>0</v>
      </c>
      <c r="Q164">
        <v>0</v>
      </c>
      <c r="R164">
        <v>0</v>
      </c>
      <c r="S164">
        <v>0</v>
      </c>
      <c r="T164">
        <v>0</v>
      </c>
    </row>
    <row r="165" spans="1:21">
      <c r="B165">
        <v>0</v>
      </c>
      <c r="C165">
        <v>0</v>
      </c>
      <c r="D165">
        <v>0</v>
      </c>
      <c r="E165">
        <v>0</v>
      </c>
      <c r="F165">
        <v>0</v>
      </c>
      <c r="G165" s="132">
        <v>0</v>
      </c>
      <c r="H165" s="132">
        <v>0</v>
      </c>
      <c r="I165" s="132">
        <v>0</v>
      </c>
      <c r="J165" s="132">
        <v>0</v>
      </c>
      <c r="N165" s="132"/>
      <c r="O165" s="132"/>
      <c r="P165">
        <v>0</v>
      </c>
      <c r="Q165">
        <v>0</v>
      </c>
      <c r="R165">
        <v>0</v>
      </c>
      <c r="S165">
        <v>0</v>
      </c>
      <c r="T165">
        <v>0</v>
      </c>
    </row>
    <row r="166" spans="1:21">
      <c r="E166"/>
      <c r="F166"/>
      <c r="N166" s="132"/>
      <c r="O166" s="132"/>
    </row>
    <row r="167" spans="1:21">
      <c r="A167">
        <v>1</v>
      </c>
      <c r="B167">
        <v>268</v>
      </c>
      <c r="C167">
        <v>268</v>
      </c>
      <c r="D167">
        <v>268</v>
      </c>
      <c r="E167">
        <v>268</v>
      </c>
      <c r="F167">
        <v>268</v>
      </c>
      <c r="G167" s="132">
        <v>268</v>
      </c>
      <c r="H167" s="132">
        <v>268</v>
      </c>
      <c r="I167" s="132">
        <v>268</v>
      </c>
      <c r="J167" s="132">
        <v>268</v>
      </c>
      <c r="N167" s="132"/>
      <c r="O167" s="132">
        <v>1</v>
      </c>
      <c r="P167">
        <v>3123635</v>
      </c>
      <c r="Q167">
        <v>2391484</v>
      </c>
      <c r="R167">
        <v>2959071</v>
      </c>
      <c r="S167">
        <v>3181228</v>
      </c>
      <c r="T167">
        <v>3450389</v>
      </c>
    </row>
    <row r="168" spans="1:21">
      <c r="B168">
        <v>1156190</v>
      </c>
      <c r="C168">
        <v>904799.8</v>
      </c>
      <c r="D168">
        <v>702141.9</v>
      </c>
      <c r="E168">
        <v>360503.8</v>
      </c>
      <c r="F168">
        <v>365531</v>
      </c>
      <c r="G168" s="132">
        <v>498256.5</v>
      </c>
      <c r="H168" s="132">
        <v>603038.4</v>
      </c>
      <c r="I168" s="132">
        <v>644358.80000000005</v>
      </c>
      <c r="J168" s="132">
        <v>645830.30000000005</v>
      </c>
      <c r="N168" s="132"/>
      <c r="O168" s="132"/>
      <c r="P168">
        <v>11655.35</v>
      </c>
      <c r="Q168">
        <v>8923.4480000000003</v>
      </c>
      <c r="R168">
        <v>11041.31</v>
      </c>
      <c r="S168">
        <v>11870.25</v>
      </c>
      <c r="T168">
        <v>12874.58</v>
      </c>
      <c r="U168" s="109">
        <f>T168/P168-1</f>
        <v>0.10460689726177241</v>
      </c>
    </row>
    <row r="169" spans="1:21">
      <c r="B169">
        <v>4314.1400000000003</v>
      </c>
      <c r="C169">
        <v>3376.1190000000001</v>
      </c>
      <c r="D169">
        <v>2619.9319999999998</v>
      </c>
      <c r="E169">
        <v>1345.163</v>
      </c>
      <c r="F169">
        <v>1363.922</v>
      </c>
      <c r="G169" s="132">
        <v>1859.1659999999999</v>
      </c>
      <c r="H169" s="132">
        <v>2250.143</v>
      </c>
      <c r="I169" s="132">
        <v>2404.3240000000001</v>
      </c>
      <c r="J169" s="132">
        <v>2409.8150000000001</v>
      </c>
      <c r="L169" s="109">
        <f>J169/B169-1</f>
        <v>-0.44141474314695395</v>
      </c>
      <c r="N169" s="132"/>
      <c r="O169" s="132"/>
      <c r="P169">
        <v>59431.33</v>
      </c>
      <c r="Q169">
        <v>62818.89</v>
      </c>
      <c r="R169">
        <v>58937.760000000002</v>
      </c>
      <c r="S169">
        <v>59839.34</v>
      </c>
      <c r="T169">
        <v>74610.83</v>
      </c>
    </row>
    <row r="170" spans="1:21">
      <c r="B170">
        <v>17375.63</v>
      </c>
      <c r="C170">
        <v>18561.55</v>
      </c>
      <c r="D170">
        <v>20718.330000000002</v>
      </c>
      <c r="E170">
        <v>13599.53</v>
      </c>
      <c r="F170">
        <v>15502.16</v>
      </c>
      <c r="G170" s="132">
        <v>17242.8</v>
      </c>
      <c r="H170" s="132">
        <v>19038.810000000001</v>
      </c>
      <c r="I170" s="132">
        <v>15436.17</v>
      </c>
      <c r="J170" s="132">
        <v>14536.74</v>
      </c>
      <c r="N170" s="132"/>
      <c r="O170" s="132"/>
      <c r="P170">
        <v>15740.09</v>
      </c>
      <c r="Q170">
        <v>12760.35</v>
      </c>
      <c r="R170">
        <v>17023.2</v>
      </c>
      <c r="S170">
        <v>18246.46</v>
      </c>
      <c r="T170">
        <v>20954.27</v>
      </c>
    </row>
    <row r="171" spans="1:21">
      <c r="B171">
        <v>5303.95</v>
      </c>
      <c r="C171">
        <v>4581.4570000000003</v>
      </c>
      <c r="D171">
        <v>3791.52</v>
      </c>
      <c r="E171">
        <v>1999.2180000000001</v>
      </c>
      <c r="F171">
        <v>1800.748</v>
      </c>
      <c r="G171" s="132">
        <v>3254.5630000000001</v>
      </c>
      <c r="H171" s="132">
        <v>4023.64</v>
      </c>
      <c r="I171" s="132">
        <v>3832.819</v>
      </c>
      <c r="J171" s="132">
        <v>4283.1469999999999</v>
      </c>
      <c r="N171" s="132"/>
      <c r="O171" s="132"/>
      <c r="P171">
        <v>8853.598</v>
      </c>
      <c r="Q171">
        <v>6610.5039999999999</v>
      </c>
      <c r="R171">
        <v>7439.7139999999999</v>
      </c>
      <c r="S171">
        <v>7693.9139999999998</v>
      </c>
      <c r="T171">
        <v>8181.5379999999996</v>
      </c>
      <c r="U171" s="109">
        <f>T171/P171-1</f>
        <v>-7.5908122324957694E-2</v>
      </c>
    </row>
    <row r="172" spans="1:21">
      <c r="B172">
        <v>3309.529</v>
      </c>
      <c r="C172">
        <v>2490.0079999999998</v>
      </c>
      <c r="D172">
        <v>1737.9770000000001</v>
      </c>
      <c r="E172">
        <v>220.1165</v>
      </c>
      <c r="F172">
        <v>0</v>
      </c>
      <c r="G172" s="132">
        <v>336.50779999999997</v>
      </c>
      <c r="H172" s="132">
        <v>796.62109999999996</v>
      </c>
      <c r="I172" s="132">
        <v>1110.2370000000001</v>
      </c>
      <c r="J172" s="132">
        <v>1138.8879999999999</v>
      </c>
      <c r="N172" s="132"/>
      <c r="O172" s="132"/>
      <c r="P172">
        <v>4730.7060000000001</v>
      </c>
      <c r="Q172">
        <v>164.0771</v>
      </c>
      <c r="R172">
        <v>181.13229999999999</v>
      </c>
      <c r="S172">
        <v>75.655879999999996</v>
      </c>
      <c r="T172">
        <v>0</v>
      </c>
    </row>
    <row r="173" spans="1:21">
      <c r="B173">
        <v>2209.3969999999999</v>
      </c>
      <c r="C173">
        <v>803.30370000000005</v>
      </c>
      <c r="D173">
        <v>0</v>
      </c>
      <c r="E173">
        <v>0</v>
      </c>
      <c r="F173">
        <v>0</v>
      </c>
      <c r="G173" s="132">
        <v>0</v>
      </c>
      <c r="H173" s="132">
        <v>0</v>
      </c>
      <c r="I173" s="132">
        <v>0</v>
      </c>
      <c r="J173" s="132">
        <v>0</v>
      </c>
      <c r="N173" s="132"/>
      <c r="O173" s="132"/>
      <c r="P173">
        <v>1568.7650000000001</v>
      </c>
      <c r="Q173">
        <v>0</v>
      </c>
      <c r="R173">
        <v>0</v>
      </c>
      <c r="S173">
        <v>0</v>
      </c>
      <c r="T173">
        <v>0</v>
      </c>
    </row>
    <row r="174" spans="1:21">
      <c r="B174">
        <v>1448.3019999999999</v>
      </c>
      <c r="C174">
        <v>0</v>
      </c>
      <c r="D174">
        <v>0</v>
      </c>
      <c r="E174">
        <v>0</v>
      </c>
      <c r="F174">
        <v>0</v>
      </c>
      <c r="G174" s="132">
        <v>0</v>
      </c>
      <c r="H174" s="132">
        <v>0</v>
      </c>
      <c r="I174" s="132">
        <v>0</v>
      </c>
      <c r="J174" s="132">
        <v>0</v>
      </c>
      <c r="N174" s="132"/>
      <c r="O174" s="132"/>
    </row>
    <row r="175" spans="1:21">
      <c r="E175"/>
      <c r="F175"/>
      <c r="N175" s="132"/>
      <c r="O175" s="132" t="s">
        <v>267</v>
      </c>
      <c r="P175">
        <v>4135417</v>
      </c>
      <c r="Q175">
        <v>5729150</v>
      </c>
      <c r="R175">
        <v>7159423</v>
      </c>
      <c r="S175">
        <v>8142874</v>
      </c>
      <c r="T175">
        <v>9050302</v>
      </c>
    </row>
    <row r="176" spans="1:21">
      <c r="A176" t="s">
        <v>267</v>
      </c>
      <c r="B176">
        <v>1074</v>
      </c>
      <c r="C176">
        <v>1074</v>
      </c>
      <c r="D176">
        <v>1074</v>
      </c>
      <c r="E176">
        <v>1074</v>
      </c>
      <c r="F176">
        <v>1074</v>
      </c>
      <c r="G176" s="132">
        <v>1074</v>
      </c>
      <c r="H176" s="132">
        <v>1074</v>
      </c>
      <c r="I176" s="132">
        <v>1074</v>
      </c>
      <c r="J176" s="132">
        <v>1074</v>
      </c>
      <c r="N176" s="132"/>
      <c r="O176" s="132"/>
      <c r="P176">
        <v>3850.4810000000002</v>
      </c>
      <c r="Q176">
        <v>5334.4040000000005</v>
      </c>
      <c r="R176">
        <v>6666.1289999999999</v>
      </c>
      <c r="S176">
        <v>7581.82</v>
      </c>
      <c r="T176">
        <v>8426.7250000000004</v>
      </c>
      <c r="U176" s="109">
        <f>T176/P176-1</f>
        <v>1.1884863215790444</v>
      </c>
    </row>
    <row r="177" spans="1:21">
      <c r="B177">
        <v>1252182</v>
      </c>
      <c r="C177">
        <v>1170738</v>
      </c>
      <c r="D177">
        <v>1017313</v>
      </c>
      <c r="E177">
        <v>695184.2</v>
      </c>
      <c r="F177">
        <v>784159</v>
      </c>
      <c r="G177" s="132">
        <v>1133896</v>
      </c>
      <c r="H177" s="132">
        <v>1420599</v>
      </c>
      <c r="I177" s="132">
        <v>1567531</v>
      </c>
      <c r="J177" s="132">
        <v>1607123</v>
      </c>
      <c r="N177" s="132"/>
      <c r="O177" s="132"/>
      <c r="P177">
        <v>59431.33</v>
      </c>
      <c r="Q177">
        <v>62818.89</v>
      </c>
      <c r="R177">
        <v>58937.760000000002</v>
      </c>
      <c r="S177">
        <v>86853.7</v>
      </c>
      <c r="T177">
        <v>98741.46</v>
      </c>
    </row>
    <row r="178" spans="1:21">
      <c r="B178">
        <v>1165.905</v>
      </c>
      <c r="C178">
        <v>1090.0719999999999</v>
      </c>
      <c r="D178">
        <v>947.21889999999996</v>
      </c>
      <c r="E178">
        <v>647.28510000000006</v>
      </c>
      <c r="F178">
        <v>730.12940000000003</v>
      </c>
      <c r="G178" s="132">
        <v>1055.769</v>
      </c>
      <c r="H178" s="132">
        <v>1322.7180000000001</v>
      </c>
      <c r="I178" s="132">
        <v>1459.5260000000001</v>
      </c>
      <c r="J178" s="132">
        <v>1496.39</v>
      </c>
      <c r="N178" s="132"/>
      <c r="O178" s="132"/>
      <c r="P178">
        <v>4567.6260000000002</v>
      </c>
      <c r="Q178">
        <v>8315.0349999999999</v>
      </c>
      <c r="R178">
        <v>10356.02</v>
      </c>
      <c r="S178">
        <v>11938.58</v>
      </c>
      <c r="T178">
        <v>13720.97</v>
      </c>
    </row>
    <row r="179" spans="1:21">
      <c r="B179">
        <v>17375.63</v>
      </c>
      <c r="C179">
        <v>18561.55</v>
      </c>
      <c r="D179">
        <v>20718.330000000002</v>
      </c>
      <c r="E179">
        <v>13599.53</v>
      </c>
      <c r="F179">
        <v>16329.09</v>
      </c>
      <c r="G179" s="132">
        <v>17242.8</v>
      </c>
      <c r="H179" s="132">
        <v>19038.810000000001</v>
      </c>
      <c r="I179" s="132">
        <v>19843.21</v>
      </c>
      <c r="J179" s="132">
        <v>14536.74</v>
      </c>
      <c r="N179" s="132"/>
      <c r="O179" s="132"/>
      <c r="P179">
        <v>833.08870000000002</v>
      </c>
      <c r="Q179">
        <v>1601.2329999999999</v>
      </c>
      <c r="R179">
        <v>2133.5030000000002</v>
      </c>
      <c r="S179">
        <v>2402.2049999999999</v>
      </c>
      <c r="T179">
        <v>2174.973</v>
      </c>
      <c r="U179" s="109">
        <f>T179/P179-1</f>
        <v>1.6107340070751168</v>
      </c>
    </row>
    <row r="180" spans="1:21">
      <c r="B180">
        <v>1425.902</v>
      </c>
      <c r="C180">
        <v>1147.048</v>
      </c>
      <c r="D180">
        <v>965.79790000000003</v>
      </c>
      <c r="E180">
        <v>595.60379999999998</v>
      </c>
      <c r="F180">
        <v>593.83920000000001</v>
      </c>
      <c r="G180" s="132">
        <v>1375.222</v>
      </c>
      <c r="H180" s="132">
        <v>2023.877</v>
      </c>
      <c r="I180" s="132">
        <v>2430.288</v>
      </c>
      <c r="J180" s="132">
        <v>2499.2930000000001</v>
      </c>
      <c r="N180" s="132"/>
      <c r="O180" s="132"/>
      <c r="P180">
        <v>0</v>
      </c>
      <c r="Q180">
        <v>0</v>
      </c>
      <c r="R180">
        <v>0</v>
      </c>
      <c r="S180">
        <v>0</v>
      </c>
      <c r="T180">
        <v>0</v>
      </c>
    </row>
    <row r="181" spans="1:21">
      <c r="B181">
        <v>0</v>
      </c>
      <c r="C181">
        <v>0</v>
      </c>
      <c r="D181">
        <v>0</v>
      </c>
      <c r="E181">
        <v>0</v>
      </c>
      <c r="F181">
        <v>0</v>
      </c>
      <c r="G181" s="132">
        <v>0</v>
      </c>
      <c r="H181" s="132">
        <v>0</v>
      </c>
      <c r="I181" s="132">
        <v>0</v>
      </c>
      <c r="J181" s="132">
        <v>0</v>
      </c>
      <c r="N181" s="132"/>
      <c r="O181" s="132"/>
      <c r="P181">
        <v>0</v>
      </c>
      <c r="Q181">
        <v>0</v>
      </c>
      <c r="R181">
        <v>0</v>
      </c>
      <c r="S181">
        <v>0</v>
      </c>
      <c r="T181">
        <v>0</v>
      </c>
    </row>
    <row r="182" spans="1:21">
      <c r="B182">
        <v>0</v>
      </c>
      <c r="C182">
        <v>0</v>
      </c>
      <c r="D182">
        <v>0</v>
      </c>
      <c r="E182">
        <v>0</v>
      </c>
      <c r="F182">
        <v>0</v>
      </c>
      <c r="G182" s="132">
        <v>0</v>
      </c>
      <c r="H182" s="132">
        <v>0</v>
      </c>
      <c r="I182" s="132">
        <v>0</v>
      </c>
      <c r="J182" s="132">
        <v>0</v>
      </c>
      <c r="N182" s="132"/>
      <c r="O182" s="132"/>
    </row>
    <row r="183" spans="1:21">
      <c r="B183">
        <v>0</v>
      </c>
      <c r="C183">
        <v>0</v>
      </c>
      <c r="D183">
        <v>0</v>
      </c>
      <c r="E183">
        <v>0</v>
      </c>
      <c r="F183">
        <v>0</v>
      </c>
      <c r="G183" s="132">
        <v>0</v>
      </c>
      <c r="H183" s="132">
        <v>0</v>
      </c>
      <c r="I183" s="132">
        <v>0</v>
      </c>
      <c r="J183" s="132">
        <v>0</v>
      </c>
      <c r="N183" s="132"/>
      <c r="O183" s="132"/>
    </row>
    <row r="184" spans="1:21">
      <c r="E184"/>
      <c r="F184"/>
      <c r="N184" s="132"/>
      <c r="O184" s="132"/>
    </row>
    <row r="185" spans="1:21">
      <c r="E185"/>
      <c r="F185"/>
      <c r="N185" s="132"/>
      <c r="O185" s="132"/>
    </row>
    <row r="186" spans="1:21">
      <c r="E186"/>
      <c r="F186"/>
      <c r="N186" s="132"/>
      <c r="O186" s="132"/>
    </row>
    <row r="189" spans="1:21">
      <c r="A189" t="s">
        <v>567</v>
      </c>
      <c r="B189" t="s">
        <v>568</v>
      </c>
      <c r="C189" t="s">
        <v>569</v>
      </c>
      <c r="D189" t="s">
        <v>570</v>
      </c>
      <c r="E189" s="132" t="s">
        <v>571</v>
      </c>
      <c r="F189" s="132" t="s">
        <v>572</v>
      </c>
      <c r="G189" s="132" t="s">
        <v>573</v>
      </c>
      <c r="H189" s="132" t="s">
        <v>574</v>
      </c>
      <c r="I189" s="132" t="s">
        <v>575</v>
      </c>
      <c r="J189" s="132" t="s">
        <v>576</v>
      </c>
    </row>
    <row r="191" spans="1:21">
      <c r="A191">
        <v>0</v>
      </c>
      <c r="B191">
        <v>966</v>
      </c>
      <c r="C191">
        <v>966</v>
      </c>
      <c r="D191">
        <v>966</v>
      </c>
      <c r="E191" s="132">
        <v>966</v>
      </c>
      <c r="F191" s="132">
        <v>966</v>
      </c>
      <c r="G191" s="132">
        <v>966</v>
      </c>
      <c r="H191" s="132">
        <v>966</v>
      </c>
      <c r="I191" s="132">
        <v>966</v>
      </c>
      <c r="J191" s="132">
        <v>966</v>
      </c>
    </row>
    <row r="192" spans="1:21">
      <c r="B192">
        <v>495274</v>
      </c>
      <c r="C192">
        <v>585566.69999999995</v>
      </c>
      <c r="D192">
        <v>578060</v>
      </c>
      <c r="E192" s="132">
        <v>475283</v>
      </c>
      <c r="F192" s="132">
        <v>580898.80000000005</v>
      </c>
      <c r="G192" s="132">
        <v>871143.3</v>
      </c>
      <c r="H192" s="132">
        <v>1098813</v>
      </c>
      <c r="I192" s="132">
        <v>1214325</v>
      </c>
      <c r="J192" s="132">
        <v>1261019</v>
      </c>
    </row>
    <row r="193" spans="1:10">
      <c r="B193">
        <v>512.70600000000002</v>
      </c>
      <c r="C193">
        <v>606.17669999999998</v>
      </c>
      <c r="D193">
        <v>598.4058</v>
      </c>
      <c r="E193" s="132">
        <v>492.01139999999998</v>
      </c>
      <c r="F193" s="132">
        <v>601.34460000000001</v>
      </c>
      <c r="G193" s="132">
        <v>901.80460000000005</v>
      </c>
      <c r="H193" s="132">
        <v>1137.4880000000001</v>
      </c>
      <c r="I193" s="132">
        <v>1257.0650000000001</v>
      </c>
      <c r="J193" s="132">
        <v>1305.403</v>
      </c>
    </row>
    <row r="194" spans="1:10">
      <c r="B194">
        <v>3768.5</v>
      </c>
      <c r="C194">
        <v>11562.63</v>
      </c>
      <c r="D194">
        <v>10601.58</v>
      </c>
      <c r="E194" s="132">
        <v>10601.58</v>
      </c>
      <c r="F194" s="132">
        <v>16329.09</v>
      </c>
      <c r="G194" s="132">
        <v>11893.96</v>
      </c>
      <c r="H194" s="132">
        <v>15857.25</v>
      </c>
      <c r="I194" s="132">
        <v>19843.21</v>
      </c>
      <c r="J194" s="132">
        <v>14383.58</v>
      </c>
    </row>
    <row r="195" spans="1:10">
      <c r="B195">
        <v>529.77</v>
      </c>
      <c r="C195">
        <v>517.58230000000003</v>
      </c>
      <c r="D195">
        <v>546.5883</v>
      </c>
      <c r="E195" s="132">
        <v>379.1157</v>
      </c>
      <c r="F195" s="132">
        <v>453.55149999999998</v>
      </c>
      <c r="G195" s="132">
        <v>1101.9259999999999</v>
      </c>
      <c r="H195" s="132">
        <v>1684.4110000000001</v>
      </c>
      <c r="I195" s="132">
        <v>2128</v>
      </c>
      <c r="J195" s="132">
        <v>2135.799</v>
      </c>
    </row>
    <row r="196" spans="1:10">
      <c r="B196">
        <v>0</v>
      </c>
      <c r="C196">
        <v>0</v>
      </c>
      <c r="D196">
        <v>0</v>
      </c>
      <c r="E196" s="132">
        <v>0</v>
      </c>
      <c r="F196" s="132">
        <v>0</v>
      </c>
      <c r="G196" s="132">
        <v>0</v>
      </c>
      <c r="H196" s="132">
        <v>0</v>
      </c>
      <c r="I196" s="132">
        <v>0</v>
      </c>
      <c r="J196" s="132">
        <v>0</v>
      </c>
    </row>
    <row r="197" spans="1:10">
      <c r="B197">
        <v>0</v>
      </c>
      <c r="C197">
        <v>0</v>
      </c>
      <c r="D197">
        <v>0</v>
      </c>
      <c r="E197" s="132">
        <v>0</v>
      </c>
      <c r="F197" s="132">
        <v>0</v>
      </c>
      <c r="G197" s="132">
        <v>0</v>
      </c>
      <c r="H197" s="132">
        <v>0</v>
      </c>
      <c r="I197" s="132">
        <v>0</v>
      </c>
      <c r="J197" s="132">
        <v>0</v>
      </c>
    </row>
    <row r="198" spans="1:10">
      <c r="B198">
        <v>0</v>
      </c>
      <c r="C198">
        <v>0</v>
      </c>
      <c r="D198">
        <v>0</v>
      </c>
      <c r="E198" s="132">
        <v>0</v>
      </c>
      <c r="F198" s="132">
        <v>0</v>
      </c>
      <c r="G198" s="132">
        <v>0</v>
      </c>
      <c r="H198" s="132">
        <v>0</v>
      </c>
      <c r="I198" s="132">
        <v>0</v>
      </c>
      <c r="J198" s="132">
        <v>0</v>
      </c>
    </row>
    <row r="200" spans="1:10">
      <c r="A200">
        <v>1</v>
      </c>
      <c r="B200">
        <v>108</v>
      </c>
      <c r="C200">
        <v>108</v>
      </c>
      <c r="D200">
        <v>108</v>
      </c>
      <c r="E200" s="132">
        <v>108</v>
      </c>
      <c r="F200" s="132">
        <v>108</v>
      </c>
      <c r="G200" s="132">
        <v>108</v>
      </c>
      <c r="H200" s="132">
        <v>108</v>
      </c>
      <c r="I200" s="132">
        <v>108</v>
      </c>
      <c r="J200" s="132">
        <v>108</v>
      </c>
    </row>
    <row r="201" spans="1:10">
      <c r="B201">
        <v>756907.7</v>
      </c>
      <c r="C201">
        <v>585170.9</v>
      </c>
      <c r="D201">
        <v>439253.1</v>
      </c>
      <c r="E201" s="132">
        <v>219901.2</v>
      </c>
      <c r="F201" s="132">
        <v>203260.1</v>
      </c>
      <c r="G201" s="132">
        <v>262753.2</v>
      </c>
      <c r="H201" s="132">
        <v>321786.3</v>
      </c>
      <c r="I201" s="132">
        <v>353205.8</v>
      </c>
      <c r="J201" s="132">
        <v>346103.9</v>
      </c>
    </row>
    <row r="202" spans="1:10">
      <c r="B202">
        <v>7008.4049999999997</v>
      </c>
      <c r="C202">
        <v>5418.2489999999998</v>
      </c>
      <c r="D202">
        <v>4067.1590000000001</v>
      </c>
      <c r="E202" s="132">
        <v>2036.1220000000001</v>
      </c>
      <c r="F202" s="132">
        <v>1882.038</v>
      </c>
      <c r="G202" s="132">
        <v>2432.9</v>
      </c>
      <c r="H202" s="132">
        <v>2979.5030000000002</v>
      </c>
      <c r="I202" s="132">
        <v>3270.424</v>
      </c>
      <c r="J202" s="132">
        <v>3204.6660000000002</v>
      </c>
    </row>
    <row r="203" spans="1:10">
      <c r="B203">
        <v>17375.63</v>
      </c>
      <c r="C203">
        <v>18561.55</v>
      </c>
      <c r="D203">
        <v>20718.330000000002</v>
      </c>
      <c r="E203" s="132">
        <v>13599.53</v>
      </c>
      <c r="F203" s="132">
        <v>15502.16</v>
      </c>
      <c r="G203" s="132">
        <v>17242.8</v>
      </c>
      <c r="H203" s="132">
        <v>19038.810000000001</v>
      </c>
      <c r="I203" s="132">
        <v>15436.17</v>
      </c>
      <c r="J203" s="132">
        <v>14536.74</v>
      </c>
    </row>
    <row r="204" spans="1:10">
      <c r="B204">
        <v>8556.2350000000006</v>
      </c>
      <c r="C204">
        <v>7791.7160000000003</v>
      </c>
      <c r="D204">
        <v>6334.4549999999999</v>
      </c>
      <c r="E204" s="132">
        <v>3041.5479999999998</v>
      </c>
      <c r="F204" s="132">
        <v>2435.6089999999999</v>
      </c>
      <c r="G204" s="132">
        <v>4114.7719999999999</v>
      </c>
      <c r="H204" s="132">
        <v>5020.9989999999998</v>
      </c>
      <c r="I204" s="132">
        <v>5833.1769999999997</v>
      </c>
      <c r="J204" s="132">
        <v>5529.1009999999997</v>
      </c>
    </row>
    <row r="205" spans="1:10">
      <c r="B205">
        <v>5796.9269999999997</v>
      </c>
      <c r="C205">
        <v>4570.134</v>
      </c>
      <c r="D205">
        <v>3155.79</v>
      </c>
      <c r="E205" s="132">
        <v>1459.0319999999999</v>
      </c>
      <c r="F205" s="132">
        <v>20.000610000000002</v>
      </c>
      <c r="G205" s="132">
        <v>908.72069999999997</v>
      </c>
      <c r="H205" s="132">
        <v>1826.7149999999999</v>
      </c>
      <c r="I205" s="132">
        <v>2137.0169999999998</v>
      </c>
      <c r="J205" s="132">
        <v>2038.1320000000001</v>
      </c>
    </row>
    <row r="206" spans="1:10">
      <c r="B206">
        <v>4687.8249999999998</v>
      </c>
      <c r="C206">
        <v>2451.2750000000001</v>
      </c>
      <c r="D206">
        <v>88.698660000000004</v>
      </c>
      <c r="E206" s="132">
        <v>0</v>
      </c>
      <c r="F206" s="132">
        <v>0</v>
      </c>
      <c r="G206" s="132">
        <v>0</v>
      </c>
      <c r="H206" s="132">
        <v>0</v>
      </c>
      <c r="I206" s="132">
        <v>0</v>
      </c>
      <c r="J206" s="132">
        <v>0</v>
      </c>
    </row>
    <row r="207" spans="1:10">
      <c r="B207">
        <v>3779.03</v>
      </c>
      <c r="C207">
        <v>0</v>
      </c>
      <c r="D207">
        <v>0</v>
      </c>
      <c r="E207" s="132">
        <v>0</v>
      </c>
      <c r="F207" s="132">
        <v>0</v>
      </c>
      <c r="G207" s="132">
        <v>0</v>
      </c>
      <c r="H207" s="132">
        <v>0</v>
      </c>
      <c r="I207" s="132">
        <v>0</v>
      </c>
      <c r="J207" s="132">
        <v>0</v>
      </c>
    </row>
    <row r="209" spans="1:13">
      <c r="A209" t="s">
        <v>267</v>
      </c>
      <c r="B209">
        <v>1074</v>
      </c>
      <c r="C209">
        <v>1074</v>
      </c>
      <c r="D209">
        <v>1074</v>
      </c>
      <c r="E209" s="132">
        <v>1074</v>
      </c>
      <c r="F209" s="132">
        <v>1074</v>
      </c>
      <c r="G209" s="132">
        <v>1074</v>
      </c>
      <c r="H209" s="132">
        <v>1074</v>
      </c>
      <c r="I209" s="132">
        <v>1074</v>
      </c>
      <c r="J209" s="132">
        <v>1074</v>
      </c>
    </row>
    <row r="210" spans="1:13">
      <c r="B210">
        <v>1252182</v>
      </c>
      <c r="C210">
        <v>1170738</v>
      </c>
      <c r="D210">
        <v>1017313</v>
      </c>
      <c r="E210" s="132">
        <v>695184.2</v>
      </c>
      <c r="F210" s="132">
        <v>784159</v>
      </c>
      <c r="G210" s="132">
        <v>1133896</v>
      </c>
      <c r="H210" s="132">
        <v>1420599</v>
      </c>
      <c r="I210" s="132">
        <v>1567531</v>
      </c>
      <c r="J210" s="132">
        <v>1607123</v>
      </c>
    </row>
    <row r="211" spans="1:13">
      <c r="B211">
        <v>1165.905</v>
      </c>
      <c r="C211">
        <v>1090.0719999999999</v>
      </c>
      <c r="D211">
        <v>947.21889999999996</v>
      </c>
      <c r="E211" s="132">
        <v>647.28510000000006</v>
      </c>
      <c r="F211" s="132">
        <v>730.12940000000003</v>
      </c>
      <c r="G211" s="132">
        <v>1055.769</v>
      </c>
      <c r="H211" s="132">
        <v>1322.7180000000001</v>
      </c>
      <c r="I211" s="132">
        <v>1459.5260000000001</v>
      </c>
      <c r="J211" s="132">
        <v>1496.39</v>
      </c>
    </row>
    <row r="212" spans="1:13">
      <c r="B212">
        <v>17375.63</v>
      </c>
      <c r="C212">
        <v>18561.55</v>
      </c>
      <c r="D212">
        <v>20718.330000000002</v>
      </c>
      <c r="E212" s="132">
        <v>13599.53</v>
      </c>
      <c r="F212" s="132">
        <v>16329.09</v>
      </c>
      <c r="G212" s="132">
        <v>17242.8</v>
      </c>
      <c r="H212" s="132">
        <v>19038.810000000001</v>
      </c>
      <c r="I212" s="132">
        <v>19843.21</v>
      </c>
      <c r="J212" s="132">
        <v>14536.74</v>
      </c>
    </row>
    <row r="213" spans="1:13">
      <c r="B213">
        <v>1425.902</v>
      </c>
      <c r="C213">
        <v>1147.048</v>
      </c>
      <c r="D213">
        <v>965.79790000000003</v>
      </c>
      <c r="E213" s="132">
        <v>595.60379999999998</v>
      </c>
      <c r="F213" s="132">
        <v>593.83920000000001</v>
      </c>
      <c r="G213" s="132">
        <v>1375.222</v>
      </c>
      <c r="H213" s="132">
        <v>2023.877</v>
      </c>
      <c r="I213" s="132">
        <v>2430.288</v>
      </c>
      <c r="J213" s="132">
        <v>2499.2930000000001</v>
      </c>
    </row>
    <row r="214" spans="1:13">
      <c r="B214">
        <v>0</v>
      </c>
      <c r="C214">
        <v>0</v>
      </c>
      <c r="D214">
        <v>0</v>
      </c>
      <c r="E214" s="132">
        <v>0</v>
      </c>
      <c r="F214" s="132">
        <v>0</v>
      </c>
      <c r="G214" s="132">
        <v>0</v>
      </c>
      <c r="H214" s="132">
        <v>0</v>
      </c>
      <c r="I214" s="132">
        <v>0</v>
      </c>
      <c r="J214" s="132">
        <v>0</v>
      </c>
    </row>
    <row r="215" spans="1:13">
      <c r="B215">
        <v>0</v>
      </c>
      <c r="C215">
        <v>0</v>
      </c>
      <c r="D215">
        <v>0</v>
      </c>
      <c r="E215" s="132">
        <v>0</v>
      </c>
      <c r="F215" s="132">
        <v>0</v>
      </c>
      <c r="G215" s="132">
        <v>0</v>
      </c>
      <c r="H215" s="132">
        <v>0</v>
      </c>
      <c r="I215" s="132">
        <v>0</v>
      </c>
      <c r="J215" s="132">
        <v>0</v>
      </c>
    </row>
    <row r="216" spans="1:13">
      <c r="B216">
        <v>0</v>
      </c>
      <c r="C216">
        <v>0</v>
      </c>
      <c r="D216">
        <v>0</v>
      </c>
      <c r="E216" s="132">
        <v>0</v>
      </c>
      <c r="F216" s="132">
        <v>0</v>
      </c>
      <c r="G216" s="132">
        <v>0</v>
      </c>
      <c r="H216" s="132">
        <v>0</v>
      </c>
      <c r="I216" s="132">
        <v>0</v>
      </c>
      <c r="J216" s="132">
        <v>0</v>
      </c>
    </row>
    <row r="221" spans="1:13" s="336" customFormat="1">
      <c r="E221" s="340"/>
      <c r="F221" s="340"/>
      <c r="G221" s="340"/>
      <c r="H221" s="340"/>
      <c r="I221" s="340"/>
      <c r="J221" s="340"/>
      <c r="K221" s="340"/>
      <c r="L221" s="340"/>
      <c r="M221" s="340"/>
    </row>
    <row r="223" spans="1:13">
      <c r="A223" t="s">
        <v>577</v>
      </c>
      <c r="B223" t="s">
        <v>578</v>
      </c>
      <c r="C223" t="s">
        <v>579</v>
      </c>
      <c r="D223" t="s">
        <v>580</v>
      </c>
      <c r="E223" s="132" t="s">
        <v>581</v>
      </c>
      <c r="F223" s="132" t="s">
        <v>582</v>
      </c>
    </row>
    <row r="225" spans="1:7">
      <c r="A225">
        <v>0</v>
      </c>
      <c r="B225">
        <v>897.32129999999995</v>
      </c>
      <c r="C225">
        <v>3815.4679999999998</v>
      </c>
      <c r="D225">
        <v>4973.8249999999998</v>
      </c>
      <c r="E225" s="132">
        <v>5655.826</v>
      </c>
      <c r="F225" s="132">
        <v>6429.22</v>
      </c>
      <c r="G225" s="109">
        <f>F225/B225-1</f>
        <v>6.1649029171602194</v>
      </c>
    </row>
    <row r="226" spans="1:7">
      <c r="B226">
        <v>61.298819999999999</v>
      </c>
      <c r="C226">
        <v>578.53300000000002</v>
      </c>
      <c r="D226">
        <v>634.9778</v>
      </c>
      <c r="E226" s="132">
        <v>964.65869999999995</v>
      </c>
      <c r="F226" s="132">
        <v>739.35</v>
      </c>
      <c r="G226" s="109">
        <f t="shared" ref="G226:G229" si="0">F226/B226-1</f>
        <v>11.061406728547141</v>
      </c>
    </row>
    <row r="227" spans="1:7">
      <c r="G227" s="109"/>
    </row>
    <row r="228" spans="1:7">
      <c r="A228">
        <v>1</v>
      </c>
      <c r="B228">
        <v>12688</v>
      </c>
      <c r="C228">
        <v>9879.9189999999999</v>
      </c>
      <c r="D228">
        <v>11730.46</v>
      </c>
      <c r="E228" s="132">
        <v>13345.48</v>
      </c>
      <c r="F228" s="132">
        <v>14404.39</v>
      </c>
      <c r="G228" s="109">
        <f t="shared" si="0"/>
        <v>0.13527663934426215</v>
      </c>
    </row>
    <row r="229" spans="1:7">
      <c r="B229">
        <v>9502.8940000000002</v>
      </c>
      <c r="C229">
        <v>7586.5860000000002</v>
      </c>
      <c r="D229">
        <v>8273.0310000000009</v>
      </c>
      <c r="E229" s="132">
        <v>10560.75</v>
      </c>
      <c r="F229" s="132">
        <v>10250.459999999999</v>
      </c>
      <c r="G229" s="109">
        <f t="shared" si="0"/>
        <v>7.8667193383404888E-2</v>
      </c>
    </row>
    <row r="231" spans="1:7">
      <c r="A231" t="s">
        <v>267</v>
      </c>
      <c r="B231">
        <v>3850.4810000000002</v>
      </c>
      <c r="C231">
        <v>5334.4040000000005</v>
      </c>
      <c r="D231">
        <v>6666.1289999999999</v>
      </c>
      <c r="E231" s="132">
        <v>7581.82</v>
      </c>
      <c r="F231" s="132">
        <v>8426.7250000000004</v>
      </c>
    </row>
    <row r="232" spans="1:7">
      <c r="B232">
        <v>833.08870000000002</v>
      </c>
      <c r="C232">
        <v>1601.2329999999999</v>
      </c>
      <c r="D232">
        <v>2133.5030000000002</v>
      </c>
      <c r="E232" s="132">
        <v>2402.2049999999999</v>
      </c>
      <c r="F232" s="132">
        <v>2174.973</v>
      </c>
    </row>
    <row r="235" spans="1:7">
      <c r="A235" t="s">
        <v>583</v>
      </c>
      <c r="B235" t="s">
        <v>578</v>
      </c>
      <c r="C235" t="s">
        <v>579</v>
      </c>
      <c r="D235" t="s">
        <v>580</v>
      </c>
      <c r="E235" s="132" t="s">
        <v>581</v>
      </c>
      <c r="F235" s="132" t="s">
        <v>582</v>
      </c>
    </row>
    <row r="237" spans="1:7">
      <c r="A237">
        <v>0</v>
      </c>
      <c r="B237">
        <v>6045.9309999999996</v>
      </c>
      <c r="C237">
        <v>6824.3819999999996</v>
      </c>
      <c r="D237">
        <v>8295.4549999999999</v>
      </c>
      <c r="E237" s="132">
        <v>9276.68</v>
      </c>
      <c r="F237" s="132">
        <v>10367.6</v>
      </c>
      <c r="G237" s="109">
        <f>F237/B237-1</f>
        <v>0.71480620602517653</v>
      </c>
    </row>
    <row r="238" spans="1:7">
      <c r="B238">
        <v>3260.9389999999999</v>
      </c>
      <c r="C238">
        <v>3523.384</v>
      </c>
      <c r="D238">
        <v>4656.68</v>
      </c>
      <c r="E238" s="132">
        <v>4731.5569999999998</v>
      </c>
      <c r="F238" s="132">
        <v>5443.692</v>
      </c>
      <c r="G238" s="109">
        <f t="shared" ref="G238:G241" si="1">F238/B238-1</f>
        <v>0.66936333369008127</v>
      </c>
    </row>
    <row r="239" spans="1:7">
      <c r="G239" s="109"/>
    </row>
    <row r="240" spans="1:7">
      <c r="A240">
        <v>1</v>
      </c>
      <c r="B240">
        <v>0</v>
      </c>
      <c r="C240">
        <v>2721.2109999999998</v>
      </c>
      <c r="D240">
        <v>3808.5419999999999</v>
      </c>
      <c r="E240" s="132">
        <v>4609.2960000000003</v>
      </c>
      <c r="F240" s="132">
        <v>5022.7259999999997</v>
      </c>
      <c r="G240" s="109" t="e">
        <f t="shared" si="1"/>
        <v>#DIV/0!</v>
      </c>
    </row>
    <row r="241" spans="1:7">
      <c r="B241">
        <v>0</v>
      </c>
      <c r="C241">
        <v>0</v>
      </c>
      <c r="D241">
        <v>0</v>
      </c>
      <c r="E241" s="132">
        <v>94.176910000000007</v>
      </c>
      <c r="F241" s="132">
        <v>101.40470000000001</v>
      </c>
      <c r="G241" s="109" t="e">
        <f t="shared" si="1"/>
        <v>#DIV/0!</v>
      </c>
    </row>
    <row r="243" spans="1:7">
      <c r="A243" t="s">
        <v>267</v>
      </c>
      <c r="B243">
        <v>3850.4810000000002</v>
      </c>
      <c r="C243">
        <v>5334.4040000000005</v>
      </c>
      <c r="D243">
        <v>6666.1289999999999</v>
      </c>
      <c r="E243" s="132">
        <v>7581.82</v>
      </c>
      <c r="F243" s="132">
        <v>8426.7250000000004</v>
      </c>
    </row>
    <row r="244" spans="1:7">
      <c r="B244">
        <v>833.08870000000002</v>
      </c>
      <c r="C244">
        <v>1601.2329999999999</v>
      </c>
      <c r="D244">
        <v>2133.5030000000002</v>
      </c>
      <c r="E244" s="132">
        <v>2402.2049999999999</v>
      </c>
      <c r="F244" s="132">
        <v>2174.973</v>
      </c>
    </row>
  </sheetData>
  <mergeCells count="58">
    <mergeCell ref="T148:U148"/>
    <mergeCell ref="A125:A131"/>
    <mergeCell ref="A132:A138"/>
    <mergeCell ref="A139:A145"/>
    <mergeCell ref="O125:O131"/>
    <mergeCell ref="O132:O138"/>
    <mergeCell ref="O139:O145"/>
    <mergeCell ref="B148:C148"/>
    <mergeCell ref="D148:E148"/>
    <mergeCell ref="F148:G148"/>
    <mergeCell ref="P148:Q148"/>
    <mergeCell ref="R148:S148"/>
    <mergeCell ref="A110:G110"/>
    <mergeCell ref="B111:C111"/>
    <mergeCell ref="D111:E111"/>
    <mergeCell ref="F111:G111"/>
    <mergeCell ref="O110:U110"/>
    <mergeCell ref="P111:Q111"/>
    <mergeCell ref="R111:S111"/>
    <mergeCell ref="T111:U111"/>
    <mergeCell ref="A1:M1"/>
    <mergeCell ref="A79:M79"/>
    <mergeCell ref="A86:A92"/>
    <mergeCell ref="A93:A99"/>
    <mergeCell ref="A100:A106"/>
    <mergeCell ref="D31:E31"/>
    <mergeCell ref="F31:G31"/>
    <mergeCell ref="A6:M6"/>
    <mergeCell ref="A8:A14"/>
    <mergeCell ref="A15:A21"/>
    <mergeCell ref="A22:A28"/>
    <mergeCell ref="A30:G30"/>
    <mergeCell ref="B31:C31"/>
    <mergeCell ref="O86:O92"/>
    <mergeCell ref="O93:O99"/>
    <mergeCell ref="O100:O106"/>
    <mergeCell ref="P69:Q69"/>
    <mergeCell ref="R69:S69"/>
    <mergeCell ref="T69:U69"/>
    <mergeCell ref="A44:I44"/>
    <mergeCell ref="O46:O52"/>
    <mergeCell ref="O53:O59"/>
    <mergeCell ref="O60:O66"/>
    <mergeCell ref="O44:W44"/>
    <mergeCell ref="B69:C69"/>
    <mergeCell ref="D69:E69"/>
    <mergeCell ref="F69:G69"/>
    <mergeCell ref="A46:A52"/>
    <mergeCell ref="A53:A59"/>
    <mergeCell ref="A60:A66"/>
    <mergeCell ref="O8:O14"/>
    <mergeCell ref="O22:O28"/>
    <mergeCell ref="O15:O21"/>
    <mergeCell ref="O6:AB6"/>
    <mergeCell ref="P31:Q31"/>
    <mergeCell ref="R31:S31"/>
    <mergeCell ref="T31:U31"/>
    <mergeCell ref="O30:U30"/>
  </mergeCells>
  <phoneticPr fontId="33" type="noConversion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44"/>
  <sheetViews>
    <sheetView topLeftCell="B1" workbookViewId="0">
      <selection activeCell="M24" sqref="M24"/>
    </sheetView>
  </sheetViews>
  <sheetFormatPr defaultRowHeight="15"/>
  <cols>
    <col min="1" max="1" width="24.140625" customWidth="1"/>
    <col min="2" max="5" width="9.140625" style="132"/>
    <col min="6" max="6" width="9.42578125" style="132" customWidth="1"/>
    <col min="7" max="10" width="9.140625" style="132"/>
    <col min="11" max="11" width="1.5703125" customWidth="1"/>
    <col min="13" max="13" width="25.85546875" customWidth="1"/>
    <col min="14" max="15" width="26.85546875" style="132" customWidth="1"/>
    <col min="16" max="16" width="13.85546875" customWidth="1"/>
  </cols>
  <sheetData>
    <row r="1" spans="1:15">
      <c r="A1" s="1" t="s">
        <v>112</v>
      </c>
      <c r="M1" s="1" t="s">
        <v>113</v>
      </c>
    </row>
    <row r="2" spans="1:15">
      <c r="A2" s="6" t="s">
        <v>114</v>
      </c>
      <c r="M2" s="2" t="s">
        <v>115</v>
      </c>
    </row>
    <row r="3" spans="1:15" ht="29.45" customHeight="1">
      <c r="A3" s="2" t="s">
        <v>116</v>
      </c>
      <c r="B3" s="133" t="s">
        <v>13</v>
      </c>
      <c r="C3" s="133" t="s">
        <v>14</v>
      </c>
      <c r="D3" s="133" t="s">
        <v>15</v>
      </c>
      <c r="E3" s="133" t="s">
        <v>16</v>
      </c>
      <c r="F3" s="133" t="s">
        <v>117</v>
      </c>
      <c r="G3" s="133" t="s">
        <v>18</v>
      </c>
      <c r="H3" s="133" t="s">
        <v>19</v>
      </c>
      <c r="I3" s="133" t="s">
        <v>20</v>
      </c>
      <c r="J3" s="133" t="s">
        <v>21</v>
      </c>
      <c r="M3" s="2" t="s">
        <v>116</v>
      </c>
      <c r="N3" s="136" t="s">
        <v>118</v>
      </c>
      <c r="O3" s="136" t="s">
        <v>119</v>
      </c>
    </row>
    <row r="4" spans="1:15">
      <c r="A4" t="s">
        <v>24</v>
      </c>
      <c r="B4" s="96">
        <v>1477.5309999999999</v>
      </c>
      <c r="C4" s="96">
        <v>1340.357</v>
      </c>
      <c r="D4" s="96">
        <v>1317.9280000000001</v>
      </c>
      <c r="E4" s="96">
        <v>1416.8610000000001</v>
      </c>
      <c r="F4" s="96">
        <v>1660.489</v>
      </c>
      <c r="G4" s="96">
        <v>1940.7180000000001</v>
      </c>
      <c r="H4" s="96">
        <v>2041.0050000000001</v>
      </c>
      <c r="I4" s="96">
        <v>2143.819</v>
      </c>
      <c r="J4" s="96">
        <v>2191.1880000000001</v>
      </c>
      <c r="M4" t="s">
        <v>24</v>
      </c>
      <c r="N4" s="96">
        <v>5055.12</v>
      </c>
      <c r="O4" s="96">
        <v>7710.7030000000004</v>
      </c>
    </row>
    <row r="5" spans="1:15">
      <c r="A5" t="s">
        <v>123</v>
      </c>
      <c r="B5" s="96">
        <v>1332.662</v>
      </c>
      <c r="C5" s="96">
        <v>1235.75</v>
      </c>
      <c r="D5" s="96">
        <v>1072.779</v>
      </c>
      <c r="E5" s="96">
        <v>799.78970000000004</v>
      </c>
      <c r="F5" s="96">
        <v>863.54589999999996</v>
      </c>
      <c r="G5" s="96">
        <v>1256.7909999999999</v>
      </c>
      <c r="H5" s="96">
        <v>1454.998</v>
      </c>
      <c r="I5" s="96">
        <v>1551.0730000000001</v>
      </c>
      <c r="J5" s="96">
        <v>1633.08</v>
      </c>
      <c r="M5" t="s">
        <v>123</v>
      </c>
      <c r="N5" s="96">
        <v>4440.9809999999998</v>
      </c>
      <c r="O5" s="96">
        <v>5895.942</v>
      </c>
    </row>
    <row r="6" spans="1:15">
      <c r="A6" t="s">
        <v>124</v>
      </c>
      <c r="B6" s="96">
        <v>2192.3249999999998</v>
      </c>
      <c r="C6" s="96">
        <v>1923.8240000000001</v>
      </c>
      <c r="D6" s="96">
        <v>2185.7779999999998</v>
      </c>
      <c r="E6" s="96">
        <v>2989.326</v>
      </c>
      <c r="F6" s="96">
        <v>3156.7249999999999</v>
      </c>
      <c r="G6" s="96">
        <v>3329.9189999999999</v>
      </c>
      <c r="H6" s="96">
        <v>3349.4</v>
      </c>
      <c r="I6" s="96">
        <v>3493.4650000000001</v>
      </c>
      <c r="J6" s="96">
        <v>3469.6660000000002</v>
      </c>
      <c r="M6" t="s">
        <v>124</v>
      </c>
      <c r="N6" s="96">
        <v>9291.2520000000004</v>
      </c>
      <c r="O6" s="96">
        <v>13642.45</v>
      </c>
    </row>
    <row r="7" spans="1:15">
      <c r="A7" t="s">
        <v>127</v>
      </c>
      <c r="B7" s="96">
        <v>1485.69</v>
      </c>
      <c r="C7" s="96">
        <v>1341.2660000000001</v>
      </c>
      <c r="D7" s="96">
        <v>1273.3689999999999</v>
      </c>
      <c r="E7" s="96">
        <v>1321.5609999999999</v>
      </c>
      <c r="F7" s="96">
        <v>1899.2660000000001</v>
      </c>
      <c r="G7" s="96">
        <v>2229.6390000000001</v>
      </c>
      <c r="H7" s="96">
        <v>2290.9969999999998</v>
      </c>
      <c r="I7" s="96">
        <v>2375.1010000000001</v>
      </c>
      <c r="J7" s="96">
        <v>2443.0369999999998</v>
      </c>
      <c r="M7" t="s">
        <v>127</v>
      </c>
      <c r="N7" s="96">
        <v>5421.8860000000004</v>
      </c>
      <c r="O7" s="96">
        <v>9338.7729999999992</v>
      </c>
    </row>
    <row r="8" spans="1:15">
      <c r="A8" t="s">
        <v>126</v>
      </c>
      <c r="B8" s="96">
        <v>1371.741</v>
      </c>
      <c r="C8" s="96">
        <v>1265.123</v>
      </c>
      <c r="D8" s="96">
        <v>1143.1320000000001</v>
      </c>
      <c r="E8" s="96">
        <v>918.47559999999999</v>
      </c>
      <c r="F8" s="96">
        <v>1129.3900000000001</v>
      </c>
      <c r="G8" s="96">
        <v>1510.2650000000001</v>
      </c>
      <c r="H8" s="96">
        <v>1653.68</v>
      </c>
      <c r="I8" s="96">
        <v>1762.6769999999999</v>
      </c>
      <c r="J8" s="96">
        <v>1830.3019999999999</v>
      </c>
      <c r="M8" t="s">
        <v>126</v>
      </c>
      <c r="N8" s="96">
        <v>4056.37</v>
      </c>
      <c r="O8" s="96">
        <v>6137.357</v>
      </c>
    </row>
    <row r="9" spans="1:15">
      <c r="A9" t="s">
        <v>37</v>
      </c>
      <c r="B9" s="96">
        <v>1937.6579999999999</v>
      </c>
      <c r="C9" s="96">
        <v>1667.58</v>
      </c>
      <c r="D9" s="96">
        <v>2078.1909999999998</v>
      </c>
      <c r="E9" s="96">
        <v>3584.5479999999998</v>
      </c>
      <c r="F9" s="96">
        <v>3970.4630000000002</v>
      </c>
      <c r="G9" s="96">
        <v>3812.9369999999999</v>
      </c>
      <c r="H9" s="96">
        <v>3725.6390000000001</v>
      </c>
      <c r="I9" s="96">
        <v>3801.5650000000001</v>
      </c>
      <c r="J9" s="96">
        <v>3760.8319999999999</v>
      </c>
      <c r="M9" t="s">
        <v>37</v>
      </c>
      <c r="N9" s="96">
        <v>9267.9770000000008</v>
      </c>
      <c r="O9" s="96">
        <v>15100.97</v>
      </c>
    </row>
    <row r="12" spans="1:15">
      <c r="A12" s="1" t="s">
        <v>112</v>
      </c>
      <c r="M12" s="1" t="s">
        <v>113</v>
      </c>
    </row>
    <row r="13" spans="1:15">
      <c r="A13" s="6" t="s">
        <v>128</v>
      </c>
      <c r="M13" s="2" t="s">
        <v>129</v>
      </c>
    </row>
    <row r="14" spans="1:15" ht="29.45" customHeight="1">
      <c r="A14" s="2" t="s">
        <v>116</v>
      </c>
      <c r="B14" s="133" t="s">
        <v>13</v>
      </c>
      <c r="C14" s="133" t="s">
        <v>14</v>
      </c>
      <c r="D14" s="133" t="s">
        <v>15</v>
      </c>
      <c r="E14" s="133" t="s">
        <v>16</v>
      </c>
      <c r="F14" s="133" t="s">
        <v>117</v>
      </c>
      <c r="G14" s="133" t="s">
        <v>18</v>
      </c>
      <c r="H14" s="133" t="s">
        <v>19</v>
      </c>
      <c r="I14" s="133" t="s">
        <v>20</v>
      </c>
      <c r="J14" s="133" t="s">
        <v>21</v>
      </c>
      <c r="M14" s="2" t="s">
        <v>116</v>
      </c>
      <c r="N14" s="136" t="s">
        <v>130</v>
      </c>
      <c r="O14" s="136" t="s">
        <v>131</v>
      </c>
    </row>
    <row r="15" spans="1:15">
      <c r="A15" t="s">
        <v>24</v>
      </c>
      <c r="B15" s="134">
        <v>0</v>
      </c>
      <c r="C15" s="134">
        <v>0</v>
      </c>
      <c r="D15" s="134">
        <v>0</v>
      </c>
      <c r="E15" s="134">
        <v>93.74</v>
      </c>
      <c r="F15" s="135">
        <v>353.92</v>
      </c>
      <c r="G15" s="134">
        <v>406.99</v>
      </c>
      <c r="H15" s="134">
        <v>467.01</v>
      </c>
      <c r="I15" s="134">
        <v>513.04</v>
      </c>
      <c r="J15" s="134">
        <v>498.43</v>
      </c>
      <c r="M15" t="s">
        <v>24</v>
      </c>
      <c r="N15" s="95">
        <v>2105.2600000000002</v>
      </c>
      <c r="O15" s="95">
        <v>3605.54</v>
      </c>
    </row>
    <row r="16" spans="1:15">
      <c r="A16" t="s">
        <v>123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M16" t="s">
        <v>123</v>
      </c>
      <c r="N16" s="96">
        <v>1354.62</v>
      </c>
      <c r="O16" s="96">
        <v>2160.9699999999998</v>
      </c>
    </row>
    <row r="17" spans="1:15">
      <c r="A17" t="s">
        <v>124</v>
      </c>
      <c r="B17" s="96">
        <v>677.88</v>
      </c>
      <c r="C17" s="96">
        <v>598.24</v>
      </c>
      <c r="D17" s="96">
        <v>1591.64</v>
      </c>
      <c r="E17" s="96">
        <v>2778.95</v>
      </c>
      <c r="F17" s="96">
        <v>2915.07</v>
      </c>
      <c r="G17" s="96">
        <v>3117.29</v>
      </c>
      <c r="H17" s="96">
        <v>3056.73</v>
      </c>
      <c r="I17" s="96">
        <v>3168.09</v>
      </c>
      <c r="J17" s="96">
        <v>3100.05</v>
      </c>
      <c r="M17" t="s">
        <v>124</v>
      </c>
      <c r="N17" s="96">
        <v>2639.74</v>
      </c>
      <c r="O17" s="96">
        <v>2549.86</v>
      </c>
    </row>
    <row r="18" spans="1:15">
      <c r="A18" t="s">
        <v>127</v>
      </c>
      <c r="B18" s="96">
        <v>0</v>
      </c>
      <c r="C18" s="96">
        <v>0</v>
      </c>
      <c r="D18" s="96">
        <v>0</v>
      </c>
      <c r="E18" s="96">
        <v>260.79000000000002</v>
      </c>
      <c r="F18" s="96">
        <v>1026.1300000000001</v>
      </c>
      <c r="G18" s="96">
        <v>1138.07</v>
      </c>
      <c r="H18" s="96">
        <v>1074.71</v>
      </c>
      <c r="I18" s="96">
        <v>1130.5</v>
      </c>
      <c r="J18" s="96">
        <v>1120.81</v>
      </c>
      <c r="M18" t="s">
        <v>127</v>
      </c>
      <c r="N18" s="96">
        <v>2674.78</v>
      </c>
      <c r="O18" s="96">
        <v>6014.59</v>
      </c>
    </row>
    <row r="19" spans="1:15">
      <c r="A19" t="s">
        <v>126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54.505000000000003</v>
      </c>
      <c r="J19" s="96">
        <v>52.14</v>
      </c>
      <c r="M19" t="s">
        <v>126</v>
      </c>
      <c r="N19" s="96">
        <v>1428.5150000000001</v>
      </c>
      <c r="O19" s="96">
        <v>2586.21</v>
      </c>
    </row>
    <row r="20" spans="1:15">
      <c r="A20" t="s">
        <v>37</v>
      </c>
      <c r="B20" s="96">
        <v>527.5</v>
      </c>
      <c r="C20" s="96">
        <v>462</v>
      </c>
      <c r="D20" s="96">
        <v>1624.77</v>
      </c>
      <c r="E20" s="96">
        <v>3425.91</v>
      </c>
      <c r="F20" s="96">
        <v>3791.94</v>
      </c>
      <c r="G20" s="96">
        <v>3644</v>
      </c>
      <c r="H20" s="96">
        <v>3504.83</v>
      </c>
      <c r="I20" s="96">
        <v>3566.31</v>
      </c>
      <c r="J20" s="96">
        <v>3570.5</v>
      </c>
      <c r="M20" t="s">
        <v>37</v>
      </c>
      <c r="N20" s="96">
        <v>7950.38</v>
      </c>
      <c r="O20" s="96">
        <v>13889.5</v>
      </c>
    </row>
    <row r="23" spans="1:15">
      <c r="A23" t="s">
        <v>584</v>
      </c>
    </row>
    <row r="24" spans="1:15">
      <c r="A24" t="s">
        <v>585</v>
      </c>
    </row>
    <row r="25" spans="1:15">
      <c r="A25" s="1" t="s">
        <v>112</v>
      </c>
      <c r="M25" s="1" t="s">
        <v>113</v>
      </c>
    </row>
    <row r="26" spans="1:15">
      <c r="A26" s="6" t="s">
        <v>114</v>
      </c>
      <c r="M26" s="2" t="s">
        <v>115</v>
      </c>
    </row>
    <row r="27" spans="1:15" ht="29.45" customHeight="1">
      <c r="A27" s="2" t="s">
        <v>116</v>
      </c>
      <c r="B27" s="133" t="s">
        <v>13</v>
      </c>
      <c r="C27" s="133" t="s">
        <v>14</v>
      </c>
      <c r="D27" s="133" t="s">
        <v>15</v>
      </c>
      <c r="E27" s="133" t="s">
        <v>16</v>
      </c>
      <c r="F27" s="133" t="s">
        <v>117</v>
      </c>
      <c r="G27" s="133" t="s">
        <v>18</v>
      </c>
      <c r="H27" s="133" t="s">
        <v>19</v>
      </c>
      <c r="I27" s="133" t="s">
        <v>20</v>
      </c>
      <c r="J27" s="133" t="s">
        <v>21</v>
      </c>
      <c r="M27" s="2" t="s">
        <v>116</v>
      </c>
      <c r="N27" s="136" t="s">
        <v>118</v>
      </c>
      <c r="O27" s="136" t="s">
        <v>119</v>
      </c>
    </row>
    <row r="28" spans="1:15">
      <c r="A28" t="s">
        <v>24</v>
      </c>
      <c r="B28" s="135">
        <v>1288.4490000000001</v>
      </c>
      <c r="C28" s="135">
        <v>1163.2670000000001</v>
      </c>
      <c r="D28" s="135">
        <v>1135.384</v>
      </c>
      <c r="E28" s="135">
        <v>1214.845</v>
      </c>
      <c r="F28" s="135">
        <v>1437.5840000000001</v>
      </c>
      <c r="G28" s="135">
        <v>1690.3510000000001</v>
      </c>
      <c r="H28" s="135">
        <v>1771.9559999999999</v>
      </c>
      <c r="I28" s="135">
        <v>1873.3109999999999</v>
      </c>
      <c r="J28" s="135">
        <v>1909.2760000000001</v>
      </c>
      <c r="M28" t="s">
        <v>24</v>
      </c>
      <c r="N28" s="96">
        <v>4801.9450000000006</v>
      </c>
      <c r="O28" s="96">
        <v>7244.8939999999993</v>
      </c>
    </row>
    <row r="29" spans="1:15">
      <c r="A29" t="s">
        <v>123</v>
      </c>
      <c r="B29" s="142">
        <v>1136.5740000000001</v>
      </c>
      <c r="C29" s="142">
        <v>1053.6980000000001</v>
      </c>
      <c r="D29" s="142">
        <v>925.63800000000003</v>
      </c>
      <c r="E29" s="142">
        <v>680.62879999999996</v>
      </c>
      <c r="F29" s="142">
        <v>729.23030000000006</v>
      </c>
      <c r="G29" s="142">
        <v>1083.569</v>
      </c>
      <c r="H29" s="142">
        <v>1246.0070000000001</v>
      </c>
      <c r="I29" s="142">
        <v>1359.3889999999999</v>
      </c>
      <c r="J29" s="142">
        <v>1428.6289999999999</v>
      </c>
      <c r="M29" t="s">
        <v>123</v>
      </c>
      <c r="N29" s="96">
        <v>3796.5387999999998</v>
      </c>
      <c r="O29" s="96">
        <v>5117.5940000000001</v>
      </c>
    </row>
    <row r="30" spans="1:15">
      <c r="A30" t="s">
        <v>124</v>
      </c>
      <c r="B30" s="142">
        <v>1962.9359999999999</v>
      </c>
      <c r="C30" s="142">
        <v>1721.9880000000001</v>
      </c>
      <c r="D30" s="142">
        <v>1936.921</v>
      </c>
      <c r="E30" s="142">
        <v>2646.4989999999998</v>
      </c>
      <c r="F30" s="142">
        <v>2791.1410000000001</v>
      </c>
      <c r="G30" s="142">
        <v>2965.2469999999998</v>
      </c>
      <c r="H30" s="142">
        <v>2958.28</v>
      </c>
      <c r="I30" s="142">
        <v>3082.9270000000001</v>
      </c>
      <c r="J30" s="142">
        <v>3072.0569999999998</v>
      </c>
      <c r="M30" t="s">
        <v>124</v>
      </c>
      <c r="N30" s="96">
        <v>8268.344000000001</v>
      </c>
      <c r="O30" s="96">
        <v>12078.510999999999</v>
      </c>
    </row>
    <row r="31" spans="1:15">
      <c r="A31" t="s">
        <v>127</v>
      </c>
      <c r="B31" s="142">
        <v>1308.2850000000001</v>
      </c>
      <c r="C31" s="142">
        <v>1154.7760000000001</v>
      </c>
      <c r="D31" s="142">
        <v>1084.4659999999999</v>
      </c>
      <c r="E31" s="142">
        <v>1146.037</v>
      </c>
      <c r="F31" s="142">
        <v>1671.172</v>
      </c>
      <c r="G31" s="142">
        <v>1951.249</v>
      </c>
      <c r="H31" s="142">
        <v>2006.2739999999999</v>
      </c>
      <c r="I31" s="142">
        <v>2093.0160000000001</v>
      </c>
      <c r="J31" s="142">
        <v>2139.25</v>
      </c>
      <c r="M31" t="s">
        <v>127</v>
      </c>
      <c r="N31" s="96">
        <v>4693.5640000000003</v>
      </c>
      <c r="O31" s="96">
        <v>8189.7890000000007</v>
      </c>
    </row>
    <row r="32" spans="1:15">
      <c r="A32" t="s">
        <v>126</v>
      </c>
      <c r="B32" s="142">
        <v>1199.691</v>
      </c>
      <c r="C32" s="142">
        <v>1100.8900000000001</v>
      </c>
      <c r="D32" s="142">
        <v>987.15869999999995</v>
      </c>
      <c r="E32" s="142">
        <v>790.05309999999997</v>
      </c>
      <c r="F32" s="142">
        <v>988.6155</v>
      </c>
      <c r="G32" s="142">
        <v>1331.7239999999999</v>
      </c>
      <c r="H32" s="142">
        <v>1449.104</v>
      </c>
      <c r="I32" s="142">
        <v>1561.16</v>
      </c>
      <c r="J32" s="142">
        <v>1617.3309999999999</v>
      </c>
      <c r="M32" t="s">
        <v>126</v>
      </c>
      <c r="N32" s="96">
        <v>4077.7928000000002</v>
      </c>
      <c r="O32" s="96">
        <v>5959.3190000000004</v>
      </c>
    </row>
    <row r="33" spans="1:15">
      <c r="A33" t="s">
        <v>37</v>
      </c>
      <c r="B33" s="141">
        <v>1721.93</v>
      </c>
      <c r="C33" s="141">
        <v>1467.91</v>
      </c>
      <c r="D33" s="141">
        <v>1859.2919999999999</v>
      </c>
      <c r="E33" s="141">
        <v>3289.4520000000002</v>
      </c>
      <c r="F33" s="141">
        <v>3630.268</v>
      </c>
      <c r="G33" s="141">
        <v>3441.8220000000001</v>
      </c>
      <c r="H33" s="141">
        <v>3348.7060000000001</v>
      </c>
      <c r="I33" s="141">
        <v>3397.8009999999999</v>
      </c>
      <c r="J33" s="141">
        <v>3335.0819999999999</v>
      </c>
      <c r="M33" t="s">
        <v>37</v>
      </c>
      <c r="N33" s="96">
        <v>8338.5839999999989</v>
      </c>
      <c r="O33" s="96">
        <v>13523.411</v>
      </c>
    </row>
    <row r="36" spans="1:15">
      <c r="A36" s="1" t="s">
        <v>112</v>
      </c>
      <c r="M36" s="1" t="s">
        <v>113</v>
      </c>
    </row>
    <row r="37" spans="1:15">
      <c r="A37" s="6" t="s">
        <v>128</v>
      </c>
      <c r="M37" s="2" t="s">
        <v>129</v>
      </c>
    </row>
    <row r="38" spans="1:15" ht="29.45" customHeight="1">
      <c r="A38" s="2" t="s">
        <v>116</v>
      </c>
      <c r="B38" s="133" t="s">
        <v>13</v>
      </c>
      <c r="C38" s="133" t="s">
        <v>14</v>
      </c>
      <c r="D38" s="133" t="s">
        <v>15</v>
      </c>
      <c r="E38" s="133" t="s">
        <v>16</v>
      </c>
      <c r="F38" s="133" t="s">
        <v>117</v>
      </c>
      <c r="G38" s="133" t="s">
        <v>18</v>
      </c>
      <c r="H38" s="133" t="s">
        <v>19</v>
      </c>
      <c r="I38" s="133" t="s">
        <v>20</v>
      </c>
      <c r="J38" s="133" t="s">
        <v>21</v>
      </c>
      <c r="M38" s="2" t="s">
        <v>116</v>
      </c>
      <c r="N38" s="136" t="s">
        <v>130</v>
      </c>
      <c r="O38" s="136" t="s">
        <v>131</v>
      </c>
    </row>
    <row r="39" spans="1:15">
      <c r="A39" t="s">
        <v>24</v>
      </c>
      <c r="B39" s="134">
        <v>0</v>
      </c>
      <c r="C39" s="134">
        <v>0</v>
      </c>
      <c r="D39" s="134">
        <v>0</v>
      </c>
      <c r="E39" s="134">
        <v>0</v>
      </c>
      <c r="F39" s="179">
        <v>165.45</v>
      </c>
      <c r="G39" s="134">
        <v>171</v>
      </c>
      <c r="H39" s="134">
        <v>210</v>
      </c>
      <c r="I39" s="134">
        <v>263.63</v>
      </c>
      <c r="J39" s="134">
        <v>217.36</v>
      </c>
      <c r="M39" t="s">
        <v>24</v>
      </c>
      <c r="N39" s="135">
        <v>2004.22</v>
      </c>
      <c r="O39" s="142">
        <v>3394.89</v>
      </c>
    </row>
    <row r="40" spans="1:15">
      <c r="A40" t="s">
        <v>123</v>
      </c>
      <c r="B40" s="95">
        <v>0</v>
      </c>
      <c r="C40" s="95">
        <v>0</v>
      </c>
      <c r="D40" s="95">
        <v>0</v>
      </c>
      <c r="E40" s="95">
        <v>0</v>
      </c>
      <c r="F40" s="180">
        <v>0</v>
      </c>
      <c r="G40" s="95">
        <v>0</v>
      </c>
      <c r="H40" s="95">
        <v>0</v>
      </c>
      <c r="I40" s="95">
        <v>0</v>
      </c>
      <c r="J40" s="95">
        <v>0</v>
      </c>
      <c r="M40" t="s">
        <v>123</v>
      </c>
      <c r="N40" s="134">
        <v>980.72500000000002</v>
      </c>
      <c r="O40" s="95">
        <v>1511.845</v>
      </c>
    </row>
    <row r="41" spans="1:15">
      <c r="A41" t="s">
        <v>124</v>
      </c>
      <c r="B41" s="95">
        <v>489.01</v>
      </c>
      <c r="C41" s="95">
        <v>441.6</v>
      </c>
      <c r="D41" s="95">
        <v>1377.69</v>
      </c>
      <c r="E41" s="95">
        <v>2504.75</v>
      </c>
      <c r="F41" s="180">
        <v>2664</v>
      </c>
      <c r="G41" s="95">
        <v>2844</v>
      </c>
      <c r="H41" s="95">
        <v>2738.25</v>
      </c>
      <c r="I41" s="95">
        <v>2827.22</v>
      </c>
      <c r="J41" s="95">
        <v>2837.18</v>
      </c>
      <c r="M41" t="s">
        <v>124</v>
      </c>
      <c r="N41" s="134">
        <v>6873.44</v>
      </c>
      <c r="O41" s="95">
        <v>11062.98</v>
      </c>
    </row>
    <row r="42" spans="1:15">
      <c r="A42" t="s">
        <v>127</v>
      </c>
      <c r="B42" s="95">
        <v>0</v>
      </c>
      <c r="C42" s="95">
        <v>0</v>
      </c>
      <c r="D42" s="95">
        <v>0</v>
      </c>
      <c r="E42" s="95">
        <v>125.57</v>
      </c>
      <c r="F42" s="180">
        <v>806.4</v>
      </c>
      <c r="G42" s="95">
        <v>859</v>
      </c>
      <c r="H42" s="95">
        <v>775</v>
      </c>
      <c r="I42" s="95">
        <v>830.73</v>
      </c>
      <c r="J42" s="95">
        <v>738.05</v>
      </c>
      <c r="M42" t="s">
        <v>127</v>
      </c>
      <c r="N42" s="134">
        <v>2193.84</v>
      </c>
      <c r="O42" s="95">
        <v>5067.7</v>
      </c>
    </row>
    <row r="43" spans="1:15">
      <c r="A43" t="s">
        <v>126</v>
      </c>
      <c r="B43" s="95">
        <v>0</v>
      </c>
      <c r="C43" s="95">
        <v>0</v>
      </c>
      <c r="D43" s="95">
        <v>0</v>
      </c>
      <c r="E43" s="95">
        <v>0</v>
      </c>
      <c r="F43" s="180">
        <v>0</v>
      </c>
      <c r="G43" s="95">
        <v>0</v>
      </c>
      <c r="H43" s="95">
        <v>0</v>
      </c>
      <c r="I43" s="95">
        <v>0</v>
      </c>
      <c r="J43" s="95">
        <v>0</v>
      </c>
      <c r="M43" t="s">
        <v>126</v>
      </c>
      <c r="N43" s="134">
        <v>1083.105</v>
      </c>
      <c r="O43" s="95">
        <v>2018.905</v>
      </c>
    </row>
    <row r="44" spans="1:15">
      <c r="A44" t="s">
        <v>37</v>
      </c>
      <c r="B44" s="95">
        <v>373.38</v>
      </c>
      <c r="C44" s="95">
        <v>339.75</v>
      </c>
      <c r="D44" s="95">
        <v>1506.3</v>
      </c>
      <c r="E44" s="95">
        <v>3224.3</v>
      </c>
      <c r="F44" s="180">
        <v>3568.11</v>
      </c>
      <c r="G44" s="95">
        <v>3443.94</v>
      </c>
      <c r="H44" s="95">
        <v>3284.41</v>
      </c>
      <c r="I44" s="95">
        <v>3337.58</v>
      </c>
      <c r="J44" s="95">
        <v>3273.38</v>
      </c>
      <c r="M44" t="s">
        <v>37</v>
      </c>
      <c r="N44" s="134">
        <v>7328.97</v>
      </c>
      <c r="O44" s="95">
        <v>12899.42</v>
      </c>
    </row>
  </sheetData>
  <phoneticPr fontId="33" type="noConversion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B52"/>
  <sheetViews>
    <sheetView workbookViewId="0">
      <pane xSplit="5" ySplit="1" topLeftCell="G2" activePane="bottomRight" state="frozen"/>
      <selection pane="topRight" activeCell="F1" sqref="F1"/>
      <selection pane="bottomLeft" activeCell="A2" sqref="A2"/>
      <selection pane="bottomRight" activeCell="I4" sqref="I4"/>
    </sheetView>
  </sheetViews>
  <sheetFormatPr defaultRowHeight="15"/>
  <cols>
    <col min="2" max="2" width="13" customWidth="1"/>
    <col min="3" max="3" width="12.140625" customWidth="1"/>
    <col min="5" max="5" width="13.85546875" customWidth="1"/>
    <col min="6" max="8" width="9.140625" style="108" customWidth="1"/>
    <col min="9" max="9" width="12.42578125" customWidth="1"/>
    <col min="10" max="17" width="11.42578125" customWidth="1"/>
    <col min="18" max="19" width="11" style="109" customWidth="1"/>
    <col min="20" max="20" width="12.140625" customWidth="1"/>
    <col min="21" max="28" width="9.140625" style="109"/>
  </cols>
  <sheetData>
    <row r="1" spans="1:28" s="8" customFormat="1" ht="94.5" customHeight="1">
      <c r="A1" s="8" t="s">
        <v>7</v>
      </c>
      <c r="B1" s="8" t="s">
        <v>8</v>
      </c>
      <c r="C1" s="8" t="s">
        <v>9</v>
      </c>
      <c r="D1" s="8" t="s">
        <v>10</v>
      </c>
      <c r="E1" s="8" t="s">
        <v>586</v>
      </c>
      <c r="F1" s="9" t="s">
        <v>587</v>
      </c>
      <c r="G1" s="9" t="s">
        <v>588</v>
      </c>
      <c r="H1" s="9" t="s">
        <v>589</v>
      </c>
      <c r="I1" s="10" t="s">
        <v>13</v>
      </c>
      <c r="J1" s="10" t="s">
        <v>14</v>
      </c>
      <c r="K1" s="10" t="s">
        <v>15</v>
      </c>
      <c r="L1" s="10" t="s">
        <v>16</v>
      </c>
      <c r="M1" s="11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84" t="s">
        <v>590</v>
      </c>
      <c r="S1" s="85" t="s">
        <v>591</v>
      </c>
      <c r="T1" s="12"/>
      <c r="U1" s="67" t="s">
        <v>592</v>
      </c>
      <c r="V1" s="67" t="s">
        <v>593</v>
      </c>
      <c r="W1" s="67" t="s">
        <v>594</v>
      </c>
      <c r="X1" s="67" t="s">
        <v>595</v>
      </c>
      <c r="Y1" s="67" t="s">
        <v>596</v>
      </c>
      <c r="Z1" s="67" t="s">
        <v>597</v>
      </c>
      <c r="AA1" s="67" t="s">
        <v>598</v>
      </c>
      <c r="AB1" s="67" t="s">
        <v>599</v>
      </c>
    </row>
    <row r="2" spans="1:28" s="18" customFormat="1" ht="30" customHeight="1">
      <c r="A2" s="86" t="s">
        <v>24</v>
      </c>
      <c r="B2" s="13" t="s">
        <v>25</v>
      </c>
      <c r="C2" s="14" t="s">
        <v>26</v>
      </c>
      <c r="D2" s="14" t="s">
        <v>24</v>
      </c>
      <c r="E2" s="42" t="s">
        <v>28</v>
      </c>
      <c r="F2" s="29">
        <v>22505</v>
      </c>
      <c r="G2" s="29">
        <v>20173</v>
      </c>
      <c r="H2" s="29">
        <f>F2-G2</f>
        <v>2332</v>
      </c>
      <c r="I2" s="87">
        <v>113.1</v>
      </c>
      <c r="J2" s="87">
        <v>84</v>
      </c>
      <c r="K2" s="87">
        <v>279.14</v>
      </c>
      <c r="L2" s="87">
        <v>405.29</v>
      </c>
      <c r="M2" s="87">
        <v>770.17</v>
      </c>
      <c r="N2" s="87">
        <v>998.48</v>
      </c>
      <c r="O2" s="87">
        <v>1067.17</v>
      </c>
      <c r="P2" s="87">
        <v>1173.76</v>
      </c>
      <c r="Q2" s="87">
        <v>1191.07</v>
      </c>
      <c r="R2" s="30">
        <v>3499.47</v>
      </c>
      <c r="S2" s="87">
        <v>5874.99</v>
      </c>
      <c r="T2" s="54">
        <f>S2-R2</f>
        <v>2375.52</v>
      </c>
      <c r="U2" s="88"/>
      <c r="V2" s="88"/>
      <c r="W2" s="88"/>
      <c r="X2" s="88"/>
      <c r="Y2" s="88"/>
      <c r="Z2" s="88"/>
      <c r="AA2" s="88"/>
      <c r="AB2" s="89"/>
    </row>
    <row r="3" spans="1:28" s="18" customFormat="1" ht="30" customHeight="1">
      <c r="A3" s="90" t="s">
        <v>24</v>
      </c>
      <c r="B3" s="51" t="s">
        <v>25</v>
      </c>
      <c r="C3" s="52" t="s">
        <v>26</v>
      </c>
      <c r="D3" s="52" t="s">
        <v>24</v>
      </c>
      <c r="E3" s="53" t="s">
        <v>27</v>
      </c>
      <c r="F3" s="43">
        <v>22505</v>
      </c>
      <c r="G3" s="43">
        <v>20173</v>
      </c>
      <c r="H3" s="43">
        <f t="shared" ref="H3:H52" si="0">F3-G3</f>
        <v>2332</v>
      </c>
      <c r="I3" s="91">
        <v>1648.3340000000001</v>
      </c>
      <c r="J3" s="91">
        <v>1495.3019999999999</v>
      </c>
      <c r="K3" s="91">
        <v>1470.2809999999999</v>
      </c>
      <c r="L3" s="91">
        <v>1580.65</v>
      </c>
      <c r="M3" s="91">
        <v>1852.442</v>
      </c>
      <c r="N3" s="91">
        <v>2165.0650000000001</v>
      </c>
      <c r="O3" s="91">
        <v>2276.9450000000002</v>
      </c>
      <c r="P3" s="91">
        <v>2391.645</v>
      </c>
      <c r="Q3" s="91">
        <v>2444.4899999999998</v>
      </c>
      <c r="R3" s="46">
        <v>6194.5680000000002</v>
      </c>
      <c r="S3" s="91">
        <v>9278.1440000000002</v>
      </c>
      <c r="T3" s="54">
        <f t="shared" ref="T3:T51" si="1">S3-R3</f>
        <v>3083.576</v>
      </c>
      <c r="U3" s="48"/>
      <c r="V3" s="48"/>
      <c r="W3" s="48"/>
      <c r="X3" s="48"/>
      <c r="Y3" s="48"/>
      <c r="Z3" s="48"/>
      <c r="AA3" s="48"/>
      <c r="AB3" s="92"/>
    </row>
    <row r="4" spans="1:28" s="18" customFormat="1" ht="30" customHeight="1">
      <c r="A4" s="90" t="s">
        <v>24</v>
      </c>
      <c r="B4" s="51" t="s">
        <v>25</v>
      </c>
      <c r="C4" s="52" t="s">
        <v>26</v>
      </c>
      <c r="D4" s="52" t="s">
        <v>24</v>
      </c>
      <c r="E4" s="93" t="s">
        <v>600</v>
      </c>
      <c r="F4" s="43">
        <v>22505</v>
      </c>
      <c r="G4" s="43">
        <v>20173</v>
      </c>
      <c r="H4" s="43">
        <f t="shared" si="0"/>
        <v>2332</v>
      </c>
      <c r="I4" s="94">
        <f>I3*20173</f>
        <v>33251841.782000002</v>
      </c>
      <c r="J4" s="94">
        <f t="shared" ref="J4:Q4" si="2">J3*20173</f>
        <v>30164727.245999999</v>
      </c>
      <c r="K4" s="94">
        <f t="shared" si="2"/>
        <v>29659978.612999998</v>
      </c>
      <c r="L4" s="94">
        <f t="shared" si="2"/>
        <v>31886452.450000003</v>
      </c>
      <c r="M4" s="94">
        <f t="shared" si="2"/>
        <v>37369312.465999998</v>
      </c>
      <c r="N4" s="94">
        <f t="shared" si="2"/>
        <v>43675856.245000005</v>
      </c>
      <c r="O4" s="94">
        <f t="shared" si="2"/>
        <v>45932811.485000007</v>
      </c>
      <c r="P4" s="94">
        <f t="shared" si="2"/>
        <v>48246654.585000001</v>
      </c>
      <c r="Q4" s="94">
        <f t="shared" si="2"/>
        <v>49312696.769999996</v>
      </c>
      <c r="R4" s="95">
        <f>SUM(I4:L4)</f>
        <v>124963000.09100001</v>
      </c>
      <c r="S4" s="95">
        <f>SUM(N4:Q4)</f>
        <v>187168019.08500004</v>
      </c>
      <c r="T4" s="96">
        <f t="shared" si="1"/>
        <v>62205018.994000033</v>
      </c>
      <c r="U4" s="48"/>
      <c r="V4" s="48"/>
      <c r="W4" s="48"/>
      <c r="X4" s="48"/>
      <c r="Y4" s="48"/>
      <c r="Z4" s="48"/>
      <c r="AA4" s="48"/>
      <c r="AB4" s="92"/>
    </row>
    <row r="5" spans="1:28" s="18" customFormat="1" ht="30" customHeight="1">
      <c r="A5" s="90" t="s">
        <v>24</v>
      </c>
      <c r="B5" s="51" t="s">
        <v>25</v>
      </c>
      <c r="C5" s="52" t="s">
        <v>26</v>
      </c>
      <c r="D5" s="52" t="s">
        <v>24</v>
      </c>
      <c r="E5" s="97" t="s">
        <v>601</v>
      </c>
      <c r="F5" s="43">
        <v>22505</v>
      </c>
      <c r="G5" s="43">
        <v>20173</v>
      </c>
      <c r="H5" s="43">
        <f t="shared" si="0"/>
        <v>2332</v>
      </c>
      <c r="I5" s="94">
        <f>I3*$F$5</f>
        <v>37095756.670000002</v>
      </c>
      <c r="J5" s="94">
        <f t="shared" ref="J5:Q5" si="3">J3*$F$5</f>
        <v>33651771.509999998</v>
      </c>
      <c r="K5" s="94">
        <f t="shared" si="3"/>
        <v>33088673.904999997</v>
      </c>
      <c r="L5" s="94">
        <f t="shared" si="3"/>
        <v>35572528.25</v>
      </c>
      <c r="M5" s="94">
        <f t="shared" si="3"/>
        <v>41689207.210000001</v>
      </c>
      <c r="N5" s="94">
        <f t="shared" si="3"/>
        <v>48724787.825000003</v>
      </c>
      <c r="O5" s="94">
        <f t="shared" si="3"/>
        <v>51242647.225000001</v>
      </c>
      <c r="P5" s="94">
        <f t="shared" si="3"/>
        <v>53823970.725000001</v>
      </c>
      <c r="Q5" s="94">
        <f t="shared" si="3"/>
        <v>55013247.449999996</v>
      </c>
      <c r="R5" s="95">
        <f>SUM(I5:L5)</f>
        <v>139408730.33500001</v>
      </c>
      <c r="S5" s="95">
        <f>SUM(N5:Q5)</f>
        <v>208804653.22499999</v>
      </c>
      <c r="T5" s="96">
        <f t="shared" si="1"/>
        <v>69395922.889999986</v>
      </c>
      <c r="U5" s="48"/>
      <c r="V5" s="48"/>
      <c r="W5" s="48"/>
      <c r="X5" s="48"/>
      <c r="Y5" s="48"/>
      <c r="Z5" s="48"/>
      <c r="AA5" s="48"/>
      <c r="AB5" s="92"/>
    </row>
    <row r="6" spans="1:28" s="18" customFormat="1" ht="30" customHeight="1">
      <c r="A6" s="98" t="s">
        <v>24</v>
      </c>
      <c r="B6" s="99" t="s">
        <v>25</v>
      </c>
      <c r="C6" s="100" t="s">
        <v>26</v>
      </c>
      <c r="D6" s="100" t="s">
        <v>24</v>
      </c>
      <c r="E6" s="101" t="s">
        <v>602</v>
      </c>
      <c r="F6" s="102">
        <v>22505</v>
      </c>
      <c r="G6" s="35">
        <v>20173</v>
      </c>
      <c r="H6" s="35">
        <f t="shared" si="0"/>
        <v>2332</v>
      </c>
      <c r="I6" s="103">
        <v>0.51925840000000001</v>
      </c>
      <c r="J6" s="103">
        <v>0.51796960000000003</v>
      </c>
      <c r="K6" s="103">
        <v>0.55172759999999998</v>
      </c>
      <c r="L6" s="103">
        <v>0.58057800000000004</v>
      </c>
      <c r="M6" s="103">
        <v>0.62464679999999995</v>
      </c>
      <c r="N6" s="103">
        <v>0.61364200000000002</v>
      </c>
      <c r="O6" s="103">
        <v>0.61735980000000001</v>
      </c>
      <c r="P6" s="103">
        <v>0.61909479999999995</v>
      </c>
      <c r="Q6" s="103">
        <v>0.61522829999999995</v>
      </c>
      <c r="R6" s="103">
        <v>0.79388289999999995</v>
      </c>
      <c r="S6" s="103">
        <v>0.7866455</v>
      </c>
      <c r="T6" s="103">
        <f t="shared" si="1"/>
        <v>-7.2373999999999494E-3</v>
      </c>
      <c r="U6" s="103">
        <v>0.15920000000000001</v>
      </c>
      <c r="V6" s="103">
        <v>0.18129999999999999</v>
      </c>
      <c r="W6" s="103">
        <v>0.1658</v>
      </c>
      <c r="X6" s="103">
        <v>0.28760000000000002</v>
      </c>
      <c r="Y6" s="103">
        <v>0.10440000000000001</v>
      </c>
      <c r="Z6" s="103">
        <v>0.1186</v>
      </c>
      <c r="AA6" s="103">
        <v>0.13070000000000001</v>
      </c>
      <c r="AB6" s="104">
        <v>0.43290000000000001</v>
      </c>
    </row>
    <row r="7" spans="1:28" s="18" customFormat="1" ht="30" customHeight="1">
      <c r="A7" s="50" t="s">
        <v>24</v>
      </c>
      <c r="B7" s="59" t="s">
        <v>29</v>
      </c>
      <c r="C7" s="60" t="s">
        <v>26</v>
      </c>
      <c r="D7" s="60" t="s">
        <v>24</v>
      </c>
      <c r="E7" s="65" t="s">
        <v>28</v>
      </c>
      <c r="F7" s="21">
        <v>5149</v>
      </c>
      <c r="G7" s="21">
        <v>4596</v>
      </c>
      <c r="H7" s="21">
        <f t="shared" si="0"/>
        <v>553</v>
      </c>
      <c r="I7" s="54">
        <v>574.71</v>
      </c>
      <c r="J7" s="54">
        <v>450.94499999999999</v>
      </c>
      <c r="K7" s="54">
        <v>622.02499999999998</v>
      </c>
      <c r="L7" s="54">
        <v>660.58</v>
      </c>
      <c r="M7" s="54">
        <v>1044.375</v>
      </c>
      <c r="N7" s="54">
        <v>1533.24</v>
      </c>
      <c r="O7" s="54">
        <v>1520.0050000000001</v>
      </c>
      <c r="P7" s="54">
        <v>1555.85</v>
      </c>
      <c r="Q7" s="54">
        <v>1580.175</v>
      </c>
      <c r="R7" s="22">
        <v>4670.55</v>
      </c>
      <c r="S7" s="22">
        <v>7210.2950000000001</v>
      </c>
      <c r="T7" s="22">
        <f t="shared" si="1"/>
        <v>2539.7449999999999</v>
      </c>
      <c r="U7" s="55"/>
      <c r="V7" s="55"/>
      <c r="W7" s="55"/>
      <c r="X7" s="55"/>
      <c r="Y7" s="55"/>
      <c r="Z7" s="55"/>
      <c r="AA7" s="55"/>
      <c r="AB7" s="55"/>
    </row>
    <row r="8" spans="1:28" s="18" customFormat="1" ht="30" customHeight="1">
      <c r="A8" s="50" t="s">
        <v>24</v>
      </c>
      <c r="B8" s="59" t="s">
        <v>29</v>
      </c>
      <c r="C8" s="60" t="s">
        <v>26</v>
      </c>
      <c r="D8" s="60" t="s">
        <v>24</v>
      </c>
      <c r="E8" s="61" t="s">
        <v>27</v>
      </c>
      <c r="F8" s="21">
        <v>5149</v>
      </c>
      <c r="G8" s="21">
        <v>4596</v>
      </c>
      <c r="H8" s="21">
        <f t="shared" si="0"/>
        <v>553</v>
      </c>
      <c r="I8" s="54">
        <v>1980.21</v>
      </c>
      <c r="J8" s="54">
        <v>1832.336</v>
      </c>
      <c r="K8" s="54">
        <v>1703.6980000000001</v>
      </c>
      <c r="L8" s="54">
        <v>1745.664</v>
      </c>
      <c r="M8" s="54">
        <v>2038.7239999999999</v>
      </c>
      <c r="N8" s="54">
        <v>2494.2469999999998</v>
      </c>
      <c r="O8" s="54">
        <v>2564.38</v>
      </c>
      <c r="P8" s="54">
        <v>2671.3440000000001</v>
      </c>
      <c r="Q8" s="54">
        <v>2703.5729999999999</v>
      </c>
      <c r="R8" s="22">
        <v>7261.9080000000004</v>
      </c>
      <c r="S8" s="22">
        <v>10433.540000000001</v>
      </c>
      <c r="T8" s="22">
        <f t="shared" si="1"/>
        <v>3171.6320000000005</v>
      </c>
      <c r="U8" s="55"/>
      <c r="V8" s="55"/>
      <c r="W8" s="55"/>
      <c r="X8" s="55"/>
      <c r="Y8" s="55"/>
      <c r="Z8" s="55"/>
      <c r="AA8" s="55"/>
      <c r="AB8" s="55"/>
    </row>
    <row r="9" spans="1:28" s="18" customFormat="1" ht="30" customHeight="1">
      <c r="A9" s="50" t="s">
        <v>24</v>
      </c>
      <c r="B9" s="59" t="s">
        <v>29</v>
      </c>
      <c r="C9" s="60" t="s">
        <v>26</v>
      </c>
      <c r="D9" s="60" t="s">
        <v>24</v>
      </c>
      <c r="E9" s="105" t="s">
        <v>600</v>
      </c>
      <c r="F9" s="21">
        <v>5149</v>
      </c>
      <c r="G9" s="21">
        <v>4596</v>
      </c>
      <c r="H9" s="21">
        <f t="shared" si="0"/>
        <v>553</v>
      </c>
      <c r="I9" s="96">
        <f>I8*4596</f>
        <v>9101045.1600000001</v>
      </c>
      <c r="J9" s="96">
        <f t="shared" ref="J9:Q9" si="4">J8*4596</f>
        <v>8421416.256000001</v>
      </c>
      <c r="K9" s="96">
        <f t="shared" si="4"/>
        <v>7830196.0080000004</v>
      </c>
      <c r="L9" s="96">
        <f t="shared" si="4"/>
        <v>8023071.7439999999</v>
      </c>
      <c r="M9" s="96">
        <f t="shared" si="4"/>
        <v>9369975.5039999988</v>
      </c>
      <c r="N9" s="96">
        <f t="shared" si="4"/>
        <v>11463559.211999999</v>
      </c>
      <c r="O9" s="96">
        <f t="shared" si="4"/>
        <v>11785890.48</v>
      </c>
      <c r="P9" s="96">
        <f t="shared" si="4"/>
        <v>12277497.024</v>
      </c>
      <c r="Q9" s="96">
        <f t="shared" si="4"/>
        <v>12425621.507999999</v>
      </c>
      <c r="R9" s="106">
        <f>SUM(I9:L9)</f>
        <v>33375729.168000001</v>
      </c>
      <c r="S9" s="106">
        <f>SUM(N9:Q9)</f>
        <v>47952568.224000007</v>
      </c>
      <c r="T9" s="106">
        <f t="shared" si="1"/>
        <v>14576839.056000005</v>
      </c>
      <c r="U9" s="55"/>
      <c r="V9" s="55"/>
      <c r="W9" s="55"/>
      <c r="X9" s="55"/>
      <c r="Y9" s="55"/>
      <c r="Z9" s="55"/>
      <c r="AA9" s="55"/>
      <c r="AB9" s="55"/>
    </row>
    <row r="10" spans="1:28" s="18" customFormat="1" ht="30" customHeight="1">
      <c r="A10" s="50" t="s">
        <v>24</v>
      </c>
      <c r="B10" s="59" t="s">
        <v>29</v>
      </c>
      <c r="C10" s="60" t="s">
        <v>26</v>
      </c>
      <c r="D10" s="60" t="s">
        <v>24</v>
      </c>
      <c r="E10" s="107" t="s">
        <v>601</v>
      </c>
      <c r="F10" s="21">
        <v>5149</v>
      </c>
      <c r="G10" s="21">
        <v>4596</v>
      </c>
      <c r="H10" s="21">
        <f t="shared" si="0"/>
        <v>553</v>
      </c>
      <c r="I10" s="96">
        <f>I8*5149</f>
        <v>10196101.290000001</v>
      </c>
      <c r="J10" s="96">
        <f t="shared" ref="J10:Q10" si="5">J8*5149</f>
        <v>9434698.0639999993</v>
      </c>
      <c r="K10" s="96">
        <f t="shared" si="5"/>
        <v>8772341.0020000003</v>
      </c>
      <c r="L10" s="96">
        <f t="shared" si="5"/>
        <v>8988423.9360000007</v>
      </c>
      <c r="M10" s="96">
        <f t="shared" si="5"/>
        <v>10497389.876</v>
      </c>
      <c r="N10" s="96">
        <f t="shared" si="5"/>
        <v>12842877.802999999</v>
      </c>
      <c r="O10" s="96">
        <f t="shared" si="5"/>
        <v>13203992.620000001</v>
      </c>
      <c r="P10" s="96">
        <f t="shared" si="5"/>
        <v>13754750.256000001</v>
      </c>
      <c r="Q10" s="96">
        <f t="shared" si="5"/>
        <v>13920697.376999998</v>
      </c>
      <c r="R10" s="106">
        <f>SUM(I10:L10)</f>
        <v>37391564.292000003</v>
      </c>
      <c r="S10" s="106">
        <f>SUM(N10:Q10)</f>
        <v>53722318.056000002</v>
      </c>
      <c r="T10" s="106">
        <f t="shared" si="1"/>
        <v>16330753.763999999</v>
      </c>
    </row>
    <row r="11" spans="1:28" s="18" customFormat="1" ht="30" customHeight="1">
      <c r="A11" s="56" t="s">
        <v>24</v>
      </c>
      <c r="B11" s="62" t="s">
        <v>29</v>
      </c>
      <c r="C11" s="63" t="s">
        <v>26</v>
      </c>
      <c r="D11" s="63" t="s">
        <v>24</v>
      </c>
      <c r="E11" s="64" t="s">
        <v>602</v>
      </c>
      <c r="F11" s="21">
        <v>5149</v>
      </c>
      <c r="G11" s="21">
        <v>4596</v>
      </c>
      <c r="H11" s="21">
        <f t="shared" si="0"/>
        <v>553</v>
      </c>
      <c r="I11" s="55">
        <v>0.58289820000000003</v>
      </c>
      <c r="J11" s="55">
        <v>0.58202790000000004</v>
      </c>
      <c r="K11" s="55">
        <v>0.59791119999999998</v>
      </c>
      <c r="L11" s="55">
        <v>0.62663190000000002</v>
      </c>
      <c r="M11" s="55">
        <v>0.68015669999999995</v>
      </c>
      <c r="N11" s="55">
        <v>0.66906010000000005</v>
      </c>
      <c r="O11" s="55">
        <v>0.6614447</v>
      </c>
      <c r="P11" s="55">
        <v>0.65339429999999998</v>
      </c>
      <c r="Q11" s="55">
        <v>0.64926019999999995</v>
      </c>
      <c r="R11" s="55">
        <v>0.84486510000000004</v>
      </c>
      <c r="S11" s="55">
        <v>0.82767619999999997</v>
      </c>
      <c r="T11" s="55">
        <f t="shared" si="1"/>
        <v>-1.7188900000000062E-2</v>
      </c>
      <c r="U11" s="55">
        <v>0.15029999999999999</v>
      </c>
      <c r="V11" s="55">
        <v>0.18060000000000001</v>
      </c>
      <c r="W11" s="55">
        <v>0.17780000000000001</v>
      </c>
      <c r="X11" s="55">
        <v>0.3362</v>
      </c>
      <c r="Y11" s="55">
        <v>0.1018</v>
      </c>
      <c r="Z11" s="55">
        <v>0.1195</v>
      </c>
      <c r="AA11" s="55">
        <v>0.13320000000000001</v>
      </c>
      <c r="AB11" s="55">
        <v>0.47320000000000001</v>
      </c>
    </row>
    <row r="12" spans="1:28" s="18" customFormat="1" ht="30" customHeight="1">
      <c r="A12" s="50" t="s">
        <v>24</v>
      </c>
      <c r="B12" s="25" t="s">
        <v>30</v>
      </c>
      <c r="C12" s="8" t="s">
        <v>26</v>
      </c>
      <c r="D12" s="8" t="s">
        <v>24</v>
      </c>
      <c r="E12" s="65" t="s">
        <v>28</v>
      </c>
      <c r="F12" s="57">
        <v>5365</v>
      </c>
      <c r="G12" s="21">
        <v>4819</v>
      </c>
      <c r="H12" s="21">
        <f t="shared" si="0"/>
        <v>546</v>
      </c>
      <c r="I12" s="54">
        <v>217.5</v>
      </c>
      <c r="J12" s="54">
        <v>145.5</v>
      </c>
      <c r="K12" s="54">
        <v>287.44</v>
      </c>
      <c r="L12" s="54">
        <v>280.45999999999998</v>
      </c>
      <c r="M12" s="54">
        <v>723.94</v>
      </c>
      <c r="N12" s="54">
        <v>989.67</v>
      </c>
      <c r="O12" s="54">
        <v>1129.5</v>
      </c>
      <c r="P12" s="54">
        <v>1325</v>
      </c>
      <c r="Q12" s="54">
        <v>1408.04</v>
      </c>
      <c r="R12" s="22">
        <v>3687.16</v>
      </c>
      <c r="S12" s="22">
        <v>6185.45</v>
      </c>
      <c r="T12" s="22">
        <f t="shared" si="1"/>
        <v>2498.29</v>
      </c>
      <c r="U12" s="55"/>
      <c r="V12" s="55"/>
      <c r="W12" s="55"/>
      <c r="X12" s="55"/>
      <c r="Y12" s="55"/>
      <c r="Z12" s="55"/>
      <c r="AA12" s="55"/>
      <c r="AB12" s="55"/>
    </row>
    <row r="13" spans="1:28" s="18" customFormat="1" ht="30" customHeight="1">
      <c r="A13" s="50" t="s">
        <v>24</v>
      </c>
      <c r="B13" s="25" t="s">
        <v>30</v>
      </c>
      <c r="C13" s="8" t="s">
        <v>26</v>
      </c>
      <c r="D13" s="8" t="s">
        <v>24</v>
      </c>
      <c r="E13" s="61" t="s">
        <v>27</v>
      </c>
      <c r="F13" s="57">
        <v>5365</v>
      </c>
      <c r="G13" s="21">
        <v>4819</v>
      </c>
      <c r="H13" s="21">
        <f t="shared" si="0"/>
        <v>546</v>
      </c>
      <c r="I13" s="54">
        <v>1769.8389999999999</v>
      </c>
      <c r="J13" s="54">
        <v>1599.0650000000001</v>
      </c>
      <c r="K13" s="54">
        <v>1515.5719999999999</v>
      </c>
      <c r="L13" s="54">
        <v>1539.4480000000001</v>
      </c>
      <c r="M13" s="54">
        <v>1797.864</v>
      </c>
      <c r="N13" s="54">
        <v>2210.4609999999998</v>
      </c>
      <c r="O13" s="54">
        <v>2378.9319999999998</v>
      </c>
      <c r="P13" s="54">
        <v>2493.2449999999999</v>
      </c>
      <c r="Q13" s="54">
        <v>2562.9630000000002</v>
      </c>
      <c r="R13" s="22">
        <v>6423.9229999999998</v>
      </c>
      <c r="S13" s="22">
        <v>9645.6</v>
      </c>
      <c r="T13" s="22">
        <f t="shared" si="1"/>
        <v>3221.6770000000006</v>
      </c>
      <c r="U13" s="55"/>
      <c r="V13" s="55"/>
      <c r="W13" s="55"/>
      <c r="X13" s="55"/>
      <c r="Y13" s="55"/>
      <c r="Z13" s="55"/>
      <c r="AA13" s="55"/>
      <c r="AB13" s="55"/>
    </row>
    <row r="14" spans="1:28" s="18" customFormat="1" ht="30" customHeight="1">
      <c r="A14" s="50" t="s">
        <v>24</v>
      </c>
      <c r="B14" s="25" t="s">
        <v>30</v>
      </c>
      <c r="C14" s="8" t="s">
        <v>26</v>
      </c>
      <c r="D14" s="8" t="s">
        <v>24</v>
      </c>
      <c r="E14" s="105" t="s">
        <v>600</v>
      </c>
      <c r="F14" s="57">
        <v>5365</v>
      </c>
      <c r="G14" s="21">
        <v>4819</v>
      </c>
      <c r="H14" s="21">
        <f t="shared" si="0"/>
        <v>546</v>
      </c>
      <c r="I14" s="96">
        <f>I13*4819</f>
        <v>8528854.1409999989</v>
      </c>
      <c r="J14" s="96">
        <f t="shared" ref="J14:Q14" si="6">J13*4819</f>
        <v>7705894.2350000003</v>
      </c>
      <c r="K14" s="96">
        <f t="shared" si="6"/>
        <v>7303541.4679999994</v>
      </c>
      <c r="L14" s="96">
        <f t="shared" si="6"/>
        <v>7418599.9120000005</v>
      </c>
      <c r="M14" s="96">
        <f t="shared" si="6"/>
        <v>8663906.6160000004</v>
      </c>
      <c r="N14" s="96">
        <f t="shared" si="6"/>
        <v>10652211.558999998</v>
      </c>
      <c r="O14" s="96">
        <f t="shared" si="6"/>
        <v>11464073.307999998</v>
      </c>
      <c r="P14" s="96">
        <f t="shared" si="6"/>
        <v>12014947.654999999</v>
      </c>
      <c r="Q14" s="96">
        <f t="shared" si="6"/>
        <v>12350918.697000001</v>
      </c>
      <c r="R14" s="106">
        <f>SUM(I14:L14)</f>
        <v>30956889.755999997</v>
      </c>
      <c r="S14" s="106">
        <f>SUM(N14:Q14)</f>
        <v>46482151.218999997</v>
      </c>
      <c r="T14" s="106">
        <f t="shared" si="1"/>
        <v>15525261.463</v>
      </c>
      <c r="U14" s="55"/>
      <c r="V14" s="55"/>
      <c r="W14" s="55"/>
      <c r="X14" s="55"/>
      <c r="Y14" s="55"/>
      <c r="Z14" s="55"/>
      <c r="AA14" s="55"/>
      <c r="AB14" s="55"/>
    </row>
    <row r="15" spans="1:28" s="18" customFormat="1" ht="30" customHeight="1">
      <c r="A15" s="50" t="s">
        <v>24</v>
      </c>
      <c r="B15" s="25" t="s">
        <v>30</v>
      </c>
      <c r="C15" s="8" t="s">
        <v>26</v>
      </c>
      <c r="D15" s="8" t="s">
        <v>24</v>
      </c>
      <c r="E15" s="107" t="s">
        <v>601</v>
      </c>
      <c r="F15" s="57">
        <v>5365</v>
      </c>
      <c r="G15" s="21">
        <v>4819</v>
      </c>
      <c r="H15" s="21">
        <f t="shared" si="0"/>
        <v>546</v>
      </c>
      <c r="I15" s="96">
        <f>I13*5365</f>
        <v>9495186.2349999994</v>
      </c>
      <c r="J15" s="96">
        <f t="shared" ref="J15:Q15" si="7">J13*5365</f>
        <v>8578983.7249999996</v>
      </c>
      <c r="K15" s="96">
        <f t="shared" si="7"/>
        <v>8131043.7799999993</v>
      </c>
      <c r="L15" s="96">
        <f t="shared" si="7"/>
        <v>8259138.5200000005</v>
      </c>
      <c r="M15" s="96">
        <f t="shared" si="7"/>
        <v>9645540.3599999994</v>
      </c>
      <c r="N15" s="96">
        <f t="shared" si="7"/>
        <v>11859123.264999999</v>
      </c>
      <c r="O15" s="96">
        <f t="shared" si="7"/>
        <v>12762970.18</v>
      </c>
      <c r="P15" s="96">
        <f t="shared" si="7"/>
        <v>13376259.424999999</v>
      </c>
      <c r="Q15" s="96">
        <f t="shared" si="7"/>
        <v>13750296.495000001</v>
      </c>
      <c r="R15" s="106">
        <f>SUM(I15:L15)</f>
        <v>34464352.260000005</v>
      </c>
      <c r="S15" s="106">
        <f>SUM(N15:Q15)</f>
        <v>51748649.364999995</v>
      </c>
      <c r="T15" s="106">
        <f t="shared" si="1"/>
        <v>17284297.104999989</v>
      </c>
      <c r="U15" s="55"/>
      <c r="V15" s="55"/>
      <c r="W15" s="55"/>
      <c r="X15" s="55"/>
      <c r="Y15" s="55"/>
      <c r="Z15" s="55"/>
      <c r="AA15" s="55"/>
      <c r="AB15" s="55"/>
    </row>
    <row r="16" spans="1:28" s="18" customFormat="1" ht="30" customHeight="1">
      <c r="A16" s="56" t="s">
        <v>24</v>
      </c>
      <c r="B16" s="66" t="s">
        <v>30</v>
      </c>
      <c r="C16" s="67" t="s">
        <v>26</v>
      </c>
      <c r="D16" s="67" t="s">
        <v>24</v>
      </c>
      <c r="E16" s="68" t="s">
        <v>602</v>
      </c>
      <c r="F16" s="57">
        <v>5365</v>
      </c>
      <c r="G16" s="21">
        <v>4819</v>
      </c>
      <c r="H16" s="21">
        <f t="shared" si="0"/>
        <v>546</v>
      </c>
      <c r="I16" s="55">
        <v>0.53579580000000004</v>
      </c>
      <c r="J16" s="55">
        <v>0.53040050000000005</v>
      </c>
      <c r="K16" s="55">
        <v>0.55156669999999997</v>
      </c>
      <c r="L16" s="55">
        <v>0.56464000000000003</v>
      </c>
      <c r="M16" s="55">
        <v>0.61880060000000003</v>
      </c>
      <c r="N16" s="55">
        <v>0.61900809999999995</v>
      </c>
      <c r="O16" s="55">
        <v>0.62419590000000003</v>
      </c>
      <c r="P16" s="55">
        <v>0.63498650000000001</v>
      </c>
      <c r="Q16" s="55">
        <v>0.63602409999999998</v>
      </c>
      <c r="R16" s="55">
        <v>0.79082799999999998</v>
      </c>
      <c r="S16" s="55">
        <v>0.80037349999999996</v>
      </c>
      <c r="T16" s="55">
        <f t="shared" si="1"/>
        <v>9.5454999999999846E-3</v>
      </c>
      <c r="U16" s="55">
        <v>0.1542</v>
      </c>
      <c r="V16" s="55">
        <v>0.17699999999999999</v>
      </c>
      <c r="W16" s="55">
        <v>0.1643</v>
      </c>
      <c r="X16" s="55">
        <v>0.29530000000000001</v>
      </c>
      <c r="Y16" s="55">
        <v>0.10290000000000001</v>
      </c>
      <c r="Z16" s="55">
        <v>0.1197</v>
      </c>
      <c r="AA16" s="55">
        <v>0.13900000000000001</v>
      </c>
      <c r="AB16" s="55">
        <v>0.43869999999999998</v>
      </c>
    </row>
    <row r="17" spans="1:28" s="18" customFormat="1" ht="30" customHeight="1">
      <c r="A17" s="50" t="s">
        <v>24</v>
      </c>
      <c r="B17" s="26" t="s">
        <v>31</v>
      </c>
      <c r="C17" s="8" t="s">
        <v>26</v>
      </c>
      <c r="D17" s="8" t="s">
        <v>24</v>
      </c>
      <c r="E17" s="65" t="s">
        <v>28</v>
      </c>
      <c r="F17" s="57">
        <v>6814</v>
      </c>
      <c r="G17" s="21">
        <v>6091</v>
      </c>
      <c r="H17" s="21">
        <f t="shared" si="0"/>
        <v>723</v>
      </c>
      <c r="I17" s="22">
        <v>0</v>
      </c>
      <c r="J17" s="22">
        <v>0</v>
      </c>
      <c r="K17" s="22">
        <v>177.75</v>
      </c>
      <c r="L17" s="22">
        <v>399</v>
      </c>
      <c r="M17" s="22">
        <v>745.69</v>
      </c>
      <c r="N17" s="22">
        <v>834.88</v>
      </c>
      <c r="O17" s="22">
        <v>869.09</v>
      </c>
      <c r="P17" s="22">
        <v>953.41</v>
      </c>
      <c r="Q17" s="22">
        <v>954.17</v>
      </c>
      <c r="R17" s="22">
        <v>3058.88</v>
      </c>
      <c r="S17" s="22">
        <v>5179.74</v>
      </c>
      <c r="T17" s="22">
        <f t="shared" si="1"/>
        <v>2120.8599999999997</v>
      </c>
      <c r="U17" s="55"/>
      <c r="V17" s="55"/>
      <c r="W17" s="55"/>
      <c r="X17" s="55"/>
      <c r="Y17" s="55"/>
      <c r="Z17" s="55"/>
      <c r="AA17" s="55"/>
      <c r="AB17" s="55"/>
    </row>
    <row r="18" spans="1:28" s="18" customFormat="1" ht="30" customHeight="1">
      <c r="A18" s="50" t="s">
        <v>24</v>
      </c>
      <c r="B18" s="26" t="s">
        <v>31</v>
      </c>
      <c r="C18" s="8" t="s">
        <v>26</v>
      </c>
      <c r="D18" s="8" t="s">
        <v>24</v>
      </c>
      <c r="E18" s="61" t="s">
        <v>27</v>
      </c>
      <c r="F18" s="57">
        <v>6814</v>
      </c>
      <c r="G18" s="21">
        <v>6091</v>
      </c>
      <c r="H18" s="21">
        <f t="shared" si="0"/>
        <v>723</v>
      </c>
      <c r="I18" s="22">
        <v>1438.6849999999999</v>
      </c>
      <c r="J18" s="22">
        <v>1312.8330000000001</v>
      </c>
      <c r="K18" s="22">
        <v>1365.96</v>
      </c>
      <c r="L18" s="22">
        <v>1540.056</v>
      </c>
      <c r="M18" s="22">
        <v>1816.183</v>
      </c>
      <c r="N18" s="22">
        <v>2042.2429999999999</v>
      </c>
      <c r="O18" s="22">
        <v>2104.5059999999999</v>
      </c>
      <c r="P18" s="22">
        <v>2218.8519999999999</v>
      </c>
      <c r="Q18" s="22">
        <v>2305.386</v>
      </c>
      <c r="R18" s="22">
        <v>5657.5339999999997</v>
      </c>
      <c r="S18" s="22">
        <v>8670.9869999999992</v>
      </c>
      <c r="T18" s="22">
        <f t="shared" si="1"/>
        <v>3013.4529999999995</v>
      </c>
      <c r="U18" s="55"/>
      <c r="V18" s="55"/>
      <c r="W18" s="55"/>
      <c r="X18" s="55"/>
      <c r="Y18" s="55"/>
      <c r="Z18" s="55"/>
      <c r="AA18" s="55"/>
      <c r="AB18" s="55"/>
    </row>
    <row r="19" spans="1:28" s="18" customFormat="1" ht="30" customHeight="1">
      <c r="A19" s="50" t="s">
        <v>24</v>
      </c>
      <c r="B19" s="26" t="s">
        <v>31</v>
      </c>
      <c r="C19" s="8" t="s">
        <v>26</v>
      </c>
      <c r="D19" s="8" t="s">
        <v>24</v>
      </c>
      <c r="E19" s="105" t="s">
        <v>600</v>
      </c>
      <c r="F19" s="57">
        <v>6814</v>
      </c>
      <c r="G19" s="21">
        <v>6091</v>
      </c>
      <c r="H19" s="21">
        <f t="shared" si="0"/>
        <v>723</v>
      </c>
      <c r="I19" s="106">
        <f>I18*6091</f>
        <v>8763030.334999999</v>
      </c>
      <c r="J19" s="106">
        <f t="shared" ref="J19:Q19" si="8">J18*6091</f>
        <v>7996465.8030000003</v>
      </c>
      <c r="K19" s="106">
        <f t="shared" si="8"/>
        <v>8320062.3600000003</v>
      </c>
      <c r="L19" s="106">
        <f t="shared" si="8"/>
        <v>9380481.0960000008</v>
      </c>
      <c r="M19" s="106">
        <f t="shared" si="8"/>
        <v>11062370.653000001</v>
      </c>
      <c r="N19" s="106">
        <f t="shared" si="8"/>
        <v>12439302.113</v>
      </c>
      <c r="O19" s="106">
        <f t="shared" si="8"/>
        <v>12818546.045999998</v>
      </c>
      <c r="P19" s="106">
        <f t="shared" si="8"/>
        <v>13515027.532</v>
      </c>
      <c r="Q19" s="106">
        <f t="shared" si="8"/>
        <v>14042106.126</v>
      </c>
      <c r="R19" s="106">
        <f>SUM(I19:L19)</f>
        <v>34460039.593999997</v>
      </c>
      <c r="S19" s="106">
        <f>SUM(N19:Q19)</f>
        <v>52814981.817000002</v>
      </c>
      <c r="T19" s="106">
        <f t="shared" si="1"/>
        <v>18354942.223000005</v>
      </c>
      <c r="U19" s="55"/>
      <c r="V19" s="55"/>
      <c r="W19" s="55"/>
      <c r="X19" s="55"/>
      <c r="Y19" s="55"/>
      <c r="Z19" s="55"/>
      <c r="AA19" s="55"/>
      <c r="AB19" s="55"/>
    </row>
    <row r="20" spans="1:28" s="18" customFormat="1" ht="30" customHeight="1">
      <c r="A20" s="50" t="s">
        <v>24</v>
      </c>
      <c r="B20" s="26" t="s">
        <v>31</v>
      </c>
      <c r="C20" s="8" t="s">
        <v>26</v>
      </c>
      <c r="D20" s="8" t="s">
        <v>24</v>
      </c>
      <c r="E20" s="107" t="s">
        <v>601</v>
      </c>
      <c r="F20" s="57">
        <v>6814</v>
      </c>
      <c r="G20" s="21">
        <v>6091</v>
      </c>
      <c r="H20" s="21">
        <f t="shared" si="0"/>
        <v>723</v>
      </c>
      <c r="I20" s="106">
        <f>I18*6814</f>
        <v>9803199.5899999999</v>
      </c>
      <c r="J20" s="106">
        <f t="shared" ref="J20:Q20" si="9">J18*6814</f>
        <v>8945644.0620000008</v>
      </c>
      <c r="K20" s="106">
        <f t="shared" si="9"/>
        <v>9307651.4399999995</v>
      </c>
      <c r="L20" s="106">
        <f t="shared" si="9"/>
        <v>10493941.584000001</v>
      </c>
      <c r="M20" s="106">
        <f t="shared" si="9"/>
        <v>12375470.961999999</v>
      </c>
      <c r="N20" s="106">
        <f t="shared" si="9"/>
        <v>13915843.801999999</v>
      </c>
      <c r="O20" s="106">
        <f t="shared" si="9"/>
        <v>14340103.884</v>
      </c>
      <c r="P20" s="106">
        <f t="shared" si="9"/>
        <v>15119257.527999999</v>
      </c>
      <c r="Q20" s="106">
        <f t="shared" si="9"/>
        <v>15708900.204</v>
      </c>
      <c r="R20" s="106">
        <f>SUM(I20:L20)</f>
        <v>38550436.675999999</v>
      </c>
      <c r="S20" s="106">
        <f>SUM(N20:Q20)</f>
        <v>59084105.417999998</v>
      </c>
      <c r="T20" s="106">
        <f t="shared" si="1"/>
        <v>20533668.741999999</v>
      </c>
      <c r="U20" s="55"/>
      <c r="V20" s="55"/>
      <c r="W20" s="55"/>
      <c r="X20" s="55"/>
      <c r="Y20" s="55"/>
      <c r="Z20" s="55"/>
      <c r="AA20" s="55"/>
      <c r="AB20" s="55"/>
    </row>
    <row r="21" spans="1:28" s="18" customFormat="1" ht="30" customHeight="1">
      <c r="A21" s="56" t="s">
        <v>24</v>
      </c>
      <c r="B21" s="69" t="s">
        <v>31</v>
      </c>
      <c r="C21" s="67" t="s">
        <v>26</v>
      </c>
      <c r="D21" s="67" t="s">
        <v>24</v>
      </c>
      <c r="E21" s="68" t="s">
        <v>602</v>
      </c>
      <c r="F21" s="57">
        <v>6814</v>
      </c>
      <c r="G21" s="21">
        <v>6091</v>
      </c>
      <c r="H21" s="21">
        <f t="shared" si="0"/>
        <v>723</v>
      </c>
      <c r="I21" s="55">
        <v>0.48464950000000001</v>
      </c>
      <c r="J21" s="55">
        <v>0.48809720000000001</v>
      </c>
      <c r="K21" s="55">
        <v>0.53455920000000001</v>
      </c>
      <c r="L21" s="55">
        <v>0.57609589999999999</v>
      </c>
      <c r="M21" s="55">
        <v>0.6120506</v>
      </c>
      <c r="N21" s="55">
        <v>0.59317030000000004</v>
      </c>
      <c r="O21" s="55">
        <v>0.59267769999999997</v>
      </c>
      <c r="P21" s="55">
        <v>0.59678209999999998</v>
      </c>
      <c r="Q21" s="55">
        <v>0.5943195</v>
      </c>
      <c r="R21" s="55">
        <v>0.77130189999999998</v>
      </c>
      <c r="S21" s="55">
        <v>0.76128709999999999</v>
      </c>
      <c r="T21" s="55">
        <f t="shared" si="1"/>
        <v>-1.001479999999999E-2</v>
      </c>
      <c r="U21" s="55">
        <v>0.1593</v>
      </c>
      <c r="V21" s="55">
        <v>0.18190000000000001</v>
      </c>
      <c r="W21" s="55">
        <v>0.16020000000000001</v>
      </c>
      <c r="X21" s="55">
        <v>0.26989999999999997</v>
      </c>
      <c r="Y21" s="55">
        <v>0.1077</v>
      </c>
      <c r="Z21" s="55">
        <v>0.11260000000000001</v>
      </c>
      <c r="AA21" s="55">
        <v>0.1198</v>
      </c>
      <c r="AB21" s="55">
        <v>0.42109999999999997</v>
      </c>
    </row>
    <row r="22" spans="1:28" s="18" customFormat="1" ht="30" customHeight="1">
      <c r="A22" s="50" t="s">
        <v>24</v>
      </c>
      <c r="B22" s="27" t="s">
        <v>32</v>
      </c>
      <c r="C22" s="8" t="s">
        <v>26</v>
      </c>
      <c r="D22" s="8" t="s">
        <v>24</v>
      </c>
      <c r="E22" s="65" t="s">
        <v>28</v>
      </c>
      <c r="F22" s="57">
        <v>5177</v>
      </c>
      <c r="G22" s="21">
        <v>4667</v>
      </c>
      <c r="H22" s="21">
        <f t="shared" si="0"/>
        <v>510</v>
      </c>
      <c r="I22" s="54">
        <v>0</v>
      </c>
      <c r="J22" s="54">
        <v>0</v>
      </c>
      <c r="K22" s="54">
        <v>145.22999999999999</v>
      </c>
      <c r="L22" s="54">
        <v>286.14999999999998</v>
      </c>
      <c r="M22" s="54">
        <v>567.17999999999995</v>
      </c>
      <c r="N22" s="54">
        <v>678.7</v>
      </c>
      <c r="O22" s="54">
        <v>807.7</v>
      </c>
      <c r="P22" s="54">
        <v>990.75</v>
      </c>
      <c r="Q22" s="54">
        <v>862.45</v>
      </c>
      <c r="R22" s="22">
        <v>2881.1</v>
      </c>
      <c r="S22" s="22">
        <v>5049.45</v>
      </c>
      <c r="T22" s="22">
        <f t="shared" si="1"/>
        <v>2168.35</v>
      </c>
      <c r="U22" s="55"/>
      <c r="V22" s="55"/>
      <c r="W22" s="55"/>
      <c r="X22" s="55"/>
      <c r="Y22" s="55"/>
      <c r="Z22" s="55"/>
      <c r="AA22" s="55"/>
      <c r="AB22" s="55"/>
    </row>
    <row r="23" spans="1:28" s="18" customFormat="1" ht="30" customHeight="1">
      <c r="A23" s="50" t="s">
        <v>24</v>
      </c>
      <c r="B23" s="27" t="s">
        <v>32</v>
      </c>
      <c r="C23" s="8" t="s">
        <v>26</v>
      </c>
      <c r="D23" s="8" t="s">
        <v>24</v>
      </c>
      <c r="E23" s="61" t="s">
        <v>27</v>
      </c>
      <c r="F23" s="57">
        <v>5177</v>
      </c>
      <c r="G23" s="21">
        <v>4667</v>
      </c>
      <c r="H23" s="21">
        <f t="shared" si="0"/>
        <v>510</v>
      </c>
      <c r="I23" s="54">
        <v>1469.663</v>
      </c>
      <c r="J23" s="54">
        <v>1294.3989999999999</v>
      </c>
      <c r="K23" s="54">
        <v>1329.799</v>
      </c>
      <c r="L23" s="54">
        <v>1513.672</v>
      </c>
      <c r="M23" s="54">
        <v>1772.671</v>
      </c>
      <c r="N23" s="54">
        <v>1954.316</v>
      </c>
      <c r="O23" s="54">
        <v>2113.627</v>
      </c>
      <c r="P23" s="54">
        <v>2236.8069999999998</v>
      </c>
      <c r="Q23" s="54">
        <v>2248.5630000000001</v>
      </c>
      <c r="R23" s="22">
        <v>5607.5330000000004</v>
      </c>
      <c r="S23" s="22">
        <v>8553.3130000000001</v>
      </c>
      <c r="T23" s="22">
        <f t="shared" si="1"/>
        <v>2945.7799999999997</v>
      </c>
      <c r="U23" s="55"/>
      <c r="V23" s="55"/>
      <c r="W23" s="55"/>
      <c r="X23" s="55"/>
      <c r="Y23" s="55"/>
      <c r="Z23" s="55"/>
      <c r="AA23" s="55"/>
      <c r="AB23" s="55"/>
    </row>
    <row r="24" spans="1:28" s="18" customFormat="1" ht="30" customHeight="1">
      <c r="A24" s="50" t="s">
        <v>24</v>
      </c>
      <c r="B24" s="27" t="s">
        <v>32</v>
      </c>
      <c r="C24" s="8" t="s">
        <v>26</v>
      </c>
      <c r="D24" s="8" t="s">
        <v>24</v>
      </c>
      <c r="E24" s="105" t="s">
        <v>600</v>
      </c>
      <c r="F24" s="57">
        <v>5177</v>
      </c>
      <c r="G24" s="21">
        <v>4667</v>
      </c>
      <c r="H24" s="21">
        <f t="shared" si="0"/>
        <v>510</v>
      </c>
      <c r="I24" s="96">
        <f>I23*4667</f>
        <v>6858917.2209999999</v>
      </c>
      <c r="J24" s="96">
        <f t="shared" ref="J24:Q24" si="10">J23*4667</f>
        <v>6040960.1329999994</v>
      </c>
      <c r="K24" s="96">
        <f t="shared" si="10"/>
        <v>6206171.9330000002</v>
      </c>
      <c r="L24" s="96">
        <f t="shared" si="10"/>
        <v>7064307.2240000004</v>
      </c>
      <c r="M24" s="96">
        <f t="shared" si="10"/>
        <v>8273055.557</v>
      </c>
      <c r="N24" s="96">
        <f t="shared" si="10"/>
        <v>9120792.7719999999</v>
      </c>
      <c r="O24" s="96">
        <f t="shared" si="10"/>
        <v>9864297.2089999989</v>
      </c>
      <c r="P24" s="96">
        <f t="shared" si="10"/>
        <v>10439178.268999999</v>
      </c>
      <c r="Q24" s="96">
        <f t="shared" si="10"/>
        <v>10494043.521</v>
      </c>
      <c r="R24" s="106">
        <f>SUM(I24:L24)</f>
        <v>26170356.511</v>
      </c>
      <c r="S24" s="106">
        <f>SUM(N24:Q24)</f>
        <v>39918311.770999998</v>
      </c>
      <c r="T24" s="106">
        <f t="shared" si="1"/>
        <v>13747955.259999998</v>
      </c>
      <c r="U24" s="55"/>
      <c r="V24" s="55"/>
      <c r="W24" s="55"/>
      <c r="X24" s="55"/>
      <c r="Y24" s="55"/>
      <c r="Z24" s="55"/>
      <c r="AA24" s="55"/>
      <c r="AB24" s="55"/>
    </row>
    <row r="25" spans="1:28" s="18" customFormat="1" ht="30" customHeight="1">
      <c r="A25" s="50" t="s">
        <v>24</v>
      </c>
      <c r="B25" s="27" t="s">
        <v>32</v>
      </c>
      <c r="C25" s="8" t="s">
        <v>26</v>
      </c>
      <c r="D25" s="8" t="s">
        <v>24</v>
      </c>
      <c r="E25" s="107" t="s">
        <v>601</v>
      </c>
      <c r="F25" s="57">
        <v>5177</v>
      </c>
      <c r="G25" s="21">
        <v>4667</v>
      </c>
      <c r="H25" s="21">
        <f t="shared" si="0"/>
        <v>510</v>
      </c>
      <c r="I25" s="96">
        <f>I23*5177</f>
        <v>7608445.3509999998</v>
      </c>
      <c r="J25" s="96">
        <f t="shared" ref="J25:Q25" si="11">J23*5177</f>
        <v>6701103.6229999997</v>
      </c>
      <c r="K25" s="96">
        <f t="shared" si="11"/>
        <v>6884369.4229999995</v>
      </c>
      <c r="L25" s="96">
        <f t="shared" si="11"/>
        <v>7836279.9440000001</v>
      </c>
      <c r="M25" s="96">
        <f t="shared" si="11"/>
        <v>9177117.7670000009</v>
      </c>
      <c r="N25" s="96">
        <f t="shared" si="11"/>
        <v>10117493.932</v>
      </c>
      <c r="O25" s="96">
        <f t="shared" si="11"/>
        <v>10942246.979</v>
      </c>
      <c r="P25" s="96">
        <f t="shared" si="11"/>
        <v>11579949.839</v>
      </c>
      <c r="Q25" s="96">
        <f t="shared" si="11"/>
        <v>11640810.651000001</v>
      </c>
      <c r="R25" s="106">
        <f>SUM(I25:L25)</f>
        <v>29030198.340999998</v>
      </c>
      <c r="S25" s="106">
        <f>SUM(N25:Q25)</f>
        <v>44280501.401000001</v>
      </c>
      <c r="T25" s="106">
        <f t="shared" si="1"/>
        <v>15250303.060000002</v>
      </c>
      <c r="U25" s="55"/>
      <c r="V25" s="55"/>
      <c r="W25" s="55"/>
      <c r="X25" s="55"/>
      <c r="Y25" s="55"/>
      <c r="Z25" s="55"/>
      <c r="AA25" s="55"/>
      <c r="AB25" s="55"/>
    </row>
    <row r="26" spans="1:28" s="18" customFormat="1" ht="30" customHeight="1">
      <c r="A26" s="56" t="s">
        <v>24</v>
      </c>
      <c r="B26" s="70" t="s">
        <v>32</v>
      </c>
      <c r="C26" s="67" t="s">
        <v>26</v>
      </c>
      <c r="D26" s="67" t="s">
        <v>24</v>
      </c>
      <c r="E26" s="68" t="s">
        <v>602</v>
      </c>
      <c r="F26" s="57">
        <v>5177</v>
      </c>
      <c r="G26" s="21">
        <v>4667</v>
      </c>
      <c r="H26" s="21">
        <f t="shared" si="0"/>
        <v>510</v>
      </c>
      <c r="I26" s="55">
        <v>0.48467969999999999</v>
      </c>
      <c r="J26" s="55">
        <v>0.4810371</v>
      </c>
      <c r="K26" s="55">
        <v>0.52881940000000005</v>
      </c>
      <c r="L26" s="55">
        <v>0.55753160000000002</v>
      </c>
      <c r="M26" s="55">
        <v>0.59245769999999998</v>
      </c>
      <c r="N26" s="55">
        <v>0.58024430000000005</v>
      </c>
      <c r="O26" s="55">
        <v>0.59910010000000002</v>
      </c>
      <c r="P26" s="55">
        <v>0.59802869999999997</v>
      </c>
      <c r="Q26" s="55">
        <v>0.58752950000000004</v>
      </c>
      <c r="R26" s="55">
        <v>0.77630169999999998</v>
      </c>
      <c r="S26" s="55">
        <v>0.76515960000000005</v>
      </c>
      <c r="T26" s="55">
        <f t="shared" si="1"/>
        <v>-1.1142099999999933E-2</v>
      </c>
      <c r="U26" s="55">
        <v>0.1729</v>
      </c>
      <c r="V26" s="55">
        <v>0.18579999999999999</v>
      </c>
      <c r="W26" s="55">
        <v>0.1628</v>
      </c>
      <c r="X26" s="55">
        <v>0.25480000000000003</v>
      </c>
      <c r="Y26" s="55">
        <v>0.1043</v>
      </c>
      <c r="Z26" s="55">
        <v>0.1245</v>
      </c>
      <c r="AA26" s="55">
        <v>0.13370000000000001</v>
      </c>
      <c r="AB26" s="55">
        <v>0.40260000000000001</v>
      </c>
    </row>
    <row r="27" spans="1:28" s="18" customFormat="1" ht="30" customHeight="1">
      <c r="A27" s="41" t="s">
        <v>24</v>
      </c>
      <c r="B27" s="28" t="s">
        <v>25</v>
      </c>
      <c r="C27" s="38" t="s">
        <v>35</v>
      </c>
      <c r="D27" s="28" t="s">
        <v>24</v>
      </c>
      <c r="E27" s="58" t="s">
        <v>28</v>
      </c>
      <c r="F27" s="21">
        <v>6090</v>
      </c>
      <c r="G27" s="21">
        <v>5495</v>
      </c>
      <c r="H27" s="21">
        <f t="shared" si="0"/>
        <v>595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107.08</v>
      </c>
      <c r="O27" s="54">
        <v>221.04</v>
      </c>
      <c r="P27" s="54">
        <v>298.44</v>
      </c>
      <c r="Q27" s="54">
        <v>312.18</v>
      </c>
      <c r="R27" s="22">
        <v>1956.46</v>
      </c>
      <c r="S27" s="22">
        <v>3159.27</v>
      </c>
      <c r="T27" s="22">
        <f t="shared" si="1"/>
        <v>1202.81</v>
      </c>
      <c r="U27" s="55"/>
      <c r="V27" s="55"/>
      <c r="W27" s="55"/>
      <c r="X27" s="55"/>
      <c r="Y27" s="55"/>
      <c r="Z27" s="55"/>
      <c r="AA27" s="55"/>
      <c r="AB27" s="55"/>
    </row>
    <row r="28" spans="1:28" s="18" customFormat="1" ht="30" customHeight="1">
      <c r="A28" s="50" t="s">
        <v>24</v>
      </c>
      <c r="B28" s="60" t="s">
        <v>25</v>
      </c>
      <c r="C28" s="74" t="s">
        <v>35</v>
      </c>
      <c r="D28" s="60" t="s">
        <v>24</v>
      </c>
      <c r="E28" s="61" t="s">
        <v>27</v>
      </c>
      <c r="F28" s="21">
        <v>6090</v>
      </c>
      <c r="G28" s="21">
        <v>5495</v>
      </c>
      <c r="H28" s="21">
        <f t="shared" si="0"/>
        <v>595</v>
      </c>
      <c r="I28" s="54">
        <v>1476.9639999999999</v>
      </c>
      <c r="J28" s="54">
        <v>1369.557</v>
      </c>
      <c r="K28" s="54">
        <v>1188.9390000000001</v>
      </c>
      <c r="L28" s="54">
        <v>886.39120000000003</v>
      </c>
      <c r="M28" s="54">
        <v>957.05089999999996</v>
      </c>
      <c r="N28" s="54">
        <v>1392.876</v>
      </c>
      <c r="O28" s="54">
        <v>1612.546</v>
      </c>
      <c r="P28" s="54">
        <v>1719.0239999999999</v>
      </c>
      <c r="Q28" s="54">
        <v>1809.91</v>
      </c>
      <c r="R28" s="22">
        <v>4921.8509999999997</v>
      </c>
      <c r="S28" s="22">
        <v>6534.3559999999998</v>
      </c>
      <c r="T28" s="22">
        <f t="shared" si="1"/>
        <v>1612.5050000000001</v>
      </c>
      <c r="U28" s="55"/>
      <c r="V28" s="55"/>
      <c r="W28" s="55"/>
      <c r="X28" s="55"/>
      <c r="Y28" s="55"/>
      <c r="Z28" s="55"/>
      <c r="AA28" s="55"/>
      <c r="AB28" s="55"/>
    </row>
    <row r="29" spans="1:28" s="18" customFormat="1" ht="30" customHeight="1">
      <c r="A29" s="50" t="s">
        <v>24</v>
      </c>
      <c r="B29" s="60" t="s">
        <v>25</v>
      </c>
      <c r="C29" s="74" t="s">
        <v>35</v>
      </c>
      <c r="D29" s="60" t="s">
        <v>24</v>
      </c>
      <c r="E29" s="105" t="s">
        <v>600</v>
      </c>
      <c r="F29" s="21">
        <v>6090</v>
      </c>
      <c r="G29" s="21">
        <v>5495</v>
      </c>
      <c r="H29" s="21">
        <f t="shared" si="0"/>
        <v>595</v>
      </c>
      <c r="I29" s="96">
        <f>I28*5495</f>
        <v>8115917.1799999997</v>
      </c>
      <c r="J29" s="96">
        <f t="shared" ref="J29:Q29" si="12">J28*5495</f>
        <v>7525715.7149999999</v>
      </c>
      <c r="K29" s="96">
        <f t="shared" si="12"/>
        <v>6533219.8050000006</v>
      </c>
      <c r="L29" s="96">
        <f t="shared" si="12"/>
        <v>4870719.6440000003</v>
      </c>
      <c r="M29" s="96">
        <f t="shared" si="12"/>
        <v>5258994.6954999994</v>
      </c>
      <c r="N29" s="96">
        <f t="shared" si="12"/>
        <v>7653853.6200000001</v>
      </c>
      <c r="O29" s="96">
        <f t="shared" si="12"/>
        <v>8860940.2699999996</v>
      </c>
      <c r="P29" s="96">
        <f t="shared" si="12"/>
        <v>9446036.879999999</v>
      </c>
      <c r="Q29" s="96">
        <f t="shared" si="12"/>
        <v>9945455.4500000011</v>
      </c>
      <c r="R29" s="106">
        <f>SUM(I29:L29)</f>
        <v>27045572.344000001</v>
      </c>
      <c r="S29" s="106">
        <f>SUM(N29:Q29)</f>
        <v>35906286.219999999</v>
      </c>
      <c r="T29" s="106">
        <f t="shared" si="1"/>
        <v>8860713.8759999983</v>
      </c>
      <c r="U29" s="55"/>
      <c r="V29" s="55"/>
      <c r="W29" s="55"/>
      <c r="X29" s="55"/>
      <c r="Y29" s="55"/>
      <c r="Z29" s="55"/>
      <c r="AA29" s="55"/>
      <c r="AB29" s="55"/>
    </row>
    <row r="30" spans="1:28" s="18" customFormat="1" ht="30" customHeight="1">
      <c r="A30" s="50" t="s">
        <v>24</v>
      </c>
      <c r="B30" s="60" t="s">
        <v>25</v>
      </c>
      <c r="C30" s="74" t="s">
        <v>35</v>
      </c>
      <c r="D30" s="60" t="s">
        <v>24</v>
      </c>
      <c r="E30" s="107" t="s">
        <v>601</v>
      </c>
      <c r="F30" s="21">
        <v>6090</v>
      </c>
      <c r="G30" s="21">
        <v>5495</v>
      </c>
      <c r="H30" s="21">
        <f t="shared" si="0"/>
        <v>595</v>
      </c>
      <c r="I30" s="96">
        <f t="shared" ref="I30:Q30" si="13">I28*6090</f>
        <v>8994710.7599999998</v>
      </c>
      <c r="J30" s="96">
        <f t="shared" si="13"/>
        <v>8340602.1299999999</v>
      </c>
      <c r="K30" s="96">
        <f t="shared" si="13"/>
        <v>7240638.5100000007</v>
      </c>
      <c r="L30" s="96">
        <f t="shared" si="13"/>
        <v>5398122.4079999998</v>
      </c>
      <c r="M30" s="96">
        <f t="shared" si="13"/>
        <v>5828439.9809999997</v>
      </c>
      <c r="N30" s="96">
        <f t="shared" si="13"/>
        <v>8482614.8399999999</v>
      </c>
      <c r="O30" s="96">
        <f t="shared" si="13"/>
        <v>9820405.1400000006</v>
      </c>
      <c r="P30" s="96">
        <f t="shared" si="13"/>
        <v>10468856.16</v>
      </c>
      <c r="Q30" s="96">
        <f t="shared" si="13"/>
        <v>11022351.9</v>
      </c>
      <c r="R30" s="106">
        <f>SUM(I30:L30)</f>
        <v>29974073.808000002</v>
      </c>
      <c r="S30" s="106">
        <f>SUM(N30:Q30)</f>
        <v>39794228.039999999</v>
      </c>
      <c r="T30" s="106">
        <f t="shared" si="1"/>
        <v>9820154.231999997</v>
      </c>
      <c r="U30" s="55"/>
      <c r="V30" s="55"/>
      <c r="W30" s="55"/>
      <c r="X30" s="55"/>
      <c r="Y30" s="55"/>
      <c r="Z30" s="55"/>
      <c r="AA30" s="55"/>
      <c r="AB30" s="55"/>
    </row>
    <row r="31" spans="1:28" s="18" customFormat="1" ht="30" customHeight="1">
      <c r="A31" s="50" t="s">
        <v>24</v>
      </c>
      <c r="B31" s="33" t="s">
        <v>25</v>
      </c>
      <c r="C31" s="39" t="s">
        <v>35</v>
      </c>
      <c r="D31" s="33" t="s">
        <v>24</v>
      </c>
      <c r="E31" s="34" t="s">
        <v>602</v>
      </c>
      <c r="F31" s="21">
        <v>6090</v>
      </c>
      <c r="G31" s="21">
        <v>5495</v>
      </c>
      <c r="H31" s="21">
        <f t="shared" si="0"/>
        <v>595</v>
      </c>
      <c r="I31" s="55">
        <v>0.49899909999999997</v>
      </c>
      <c r="J31" s="55">
        <v>0.49317559999999999</v>
      </c>
      <c r="K31" s="55">
        <v>0.47970879999999999</v>
      </c>
      <c r="L31" s="55">
        <v>0.4649682</v>
      </c>
      <c r="M31" s="55">
        <v>0.49645129999999998</v>
      </c>
      <c r="N31" s="55">
        <v>0.52302090000000001</v>
      </c>
      <c r="O31" s="55">
        <v>0.54249320000000001</v>
      </c>
      <c r="P31" s="55">
        <v>0.55031850000000004</v>
      </c>
      <c r="Q31" s="55">
        <v>0.55286619999999997</v>
      </c>
      <c r="R31" s="55">
        <v>0.74158329999999995</v>
      </c>
      <c r="S31" s="55">
        <v>0.75559600000000005</v>
      </c>
      <c r="T31" s="55">
        <f t="shared" si="1"/>
        <v>1.40127000000001E-2</v>
      </c>
      <c r="U31" s="55">
        <v>0.17230000000000001</v>
      </c>
      <c r="V31" s="55">
        <v>0.17399999999999999</v>
      </c>
      <c r="W31" s="55">
        <v>0.16450000000000001</v>
      </c>
      <c r="X31" s="55">
        <v>0.23080000000000001</v>
      </c>
      <c r="Y31" s="55">
        <v>0.13270000000000001</v>
      </c>
      <c r="Z31" s="55">
        <v>0.14979999999999999</v>
      </c>
      <c r="AA31" s="55">
        <v>0.15609999999999999</v>
      </c>
      <c r="AB31" s="55">
        <v>0.317</v>
      </c>
    </row>
    <row r="32" spans="1:28" s="18" customFormat="1" ht="30" customHeight="1">
      <c r="A32" s="41" t="s">
        <v>24</v>
      </c>
      <c r="B32" s="20" t="s">
        <v>29</v>
      </c>
      <c r="C32" s="40" t="s">
        <v>35</v>
      </c>
      <c r="D32" s="8" t="s">
        <v>24</v>
      </c>
      <c r="E32" s="58" t="s">
        <v>28</v>
      </c>
      <c r="F32" s="21">
        <v>1695</v>
      </c>
      <c r="G32" s="21">
        <v>1521</v>
      </c>
      <c r="H32" s="21">
        <f t="shared" si="0"/>
        <v>174</v>
      </c>
      <c r="I32" s="54">
        <v>426.4</v>
      </c>
      <c r="J32" s="54">
        <v>271.64999999999998</v>
      </c>
      <c r="K32" s="54">
        <v>187.38</v>
      </c>
      <c r="L32" s="54">
        <v>110.55</v>
      </c>
      <c r="M32" s="54">
        <v>241.14</v>
      </c>
      <c r="N32" s="54">
        <v>476.72</v>
      </c>
      <c r="O32" s="54">
        <v>514.19000000000005</v>
      </c>
      <c r="P32" s="54">
        <v>686.67</v>
      </c>
      <c r="Q32" s="54">
        <v>763.09</v>
      </c>
      <c r="R32" s="22">
        <v>2863.85</v>
      </c>
      <c r="S32" s="22">
        <v>4622.24</v>
      </c>
      <c r="T32" s="22">
        <f t="shared" si="1"/>
        <v>1758.3899999999999</v>
      </c>
      <c r="U32" s="55"/>
      <c r="V32" s="55"/>
      <c r="W32" s="55"/>
      <c r="X32" s="55"/>
      <c r="Y32" s="55"/>
      <c r="Z32" s="55"/>
      <c r="AA32" s="55"/>
      <c r="AB32" s="55"/>
    </row>
    <row r="33" spans="1:28" s="18" customFormat="1" ht="30" customHeight="1">
      <c r="A33" s="50" t="s">
        <v>24</v>
      </c>
      <c r="B33" s="20" t="s">
        <v>29</v>
      </c>
      <c r="C33" s="40" t="s">
        <v>35</v>
      </c>
      <c r="D33" s="8" t="s">
        <v>24</v>
      </c>
      <c r="E33" s="61" t="s">
        <v>27</v>
      </c>
      <c r="F33" s="21">
        <v>1695</v>
      </c>
      <c r="G33" s="21">
        <v>1521</v>
      </c>
      <c r="H33" s="21">
        <f t="shared" si="0"/>
        <v>174</v>
      </c>
      <c r="I33" s="54">
        <v>1772.76</v>
      </c>
      <c r="J33" s="54">
        <v>1683.325</v>
      </c>
      <c r="K33" s="54">
        <v>1468.4359999999999</v>
      </c>
      <c r="L33" s="54">
        <v>1054.9059999999999</v>
      </c>
      <c r="M33" s="54">
        <v>1124.1659999999999</v>
      </c>
      <c r="N33" s="54">
        <v>1681.9939999999999</v>
      </c>
      <c r="O33" s="54">
        <v>1865.0419999999999</v>
      </c>
      <c r="P33" s="54">
        <v>1976.095</v>
      </c>
      <c r="Q33" s="54">
        <v>2093.3150000000001</v>
      </c>
      <c r="R33" s="22">
        <v>5979.4269999999997</v>
      </c>
      <c r="S33" s="22">
        <v>7616.4470000000001</v>
      </c>
      <c r="T33" s="22">
        <f t="shared" si="1"/>
        <v>1637.0200000000004</v>
      </c>
      <c r="U33" s="55"/>
      <c r="V33" s="55"/>
      <c r="W33" s="55"/>
      <c r="X33" s="55"/>
      <c r="Y33" s="55"/>
      <c r="Z33" s="55"/>
      <c r="AA33" s="55"/>
      <c r="AB33" s="55"/>
    </row>
    <row r="34" spans="1:28" s="18" customFormat="1" ht="30" customHeight="1">
      <c r="A34" s="50" t="s">
        <v>24</v>
      </c>
      <c r="B34" s="20" t="s">
        <v>29</v>
      </c>
      <c r="C34" s="40" t="s">
        <v>35</v>
      </c>
      <c r="D34" s="8" t="s">
        <v>24</v>
      </c>
      <c r="E34" s="105" t="s">
        <v>600</v>
      </c>
      <c r="F34" s="21">
        <v>1695</v>
      </c>
      <c r="G34" s="21">
        <v>1521</v>
      </c>
      <c r="H34" s="21">
        <f t="shared" si="0"/>
        <v>174</v>
      </c>
      <c r="I34" s="96">
        <f>I33*1521</f>
        <v>2696367.96</v>
      </c>
      <c r="J34" s="96">
        <f t="shared" ref="J34:Q34" si="14">J33*1521</f>
        <v>2560337.3250000002</v>
      </c>
      <c r="K34" s="96">
        <f t="shared" si="14"/>
        <v>2233491.156</v>
      </c>
      <c r="L34" s="96">
        <f t="shared" si="14"/>
        <v>1604512.0259999998</v>
      </c>
      <c r="M34" s="96">
        <f t="shared" si="14"/>
        <v>1709856.4859999998</v>
      </c>
      <c r="N34" s="96">
        <f t="shared" si="14"/>
        <v>2558312.8739999998</v>
      </c>
      <c r="O34" s="96">
        <f t="shared" si="14"/>
        <v>2836728.8819999998</v>
      </c>
      <c r="P34" s="96">
        <f t="shared" si="14"/>
        <v>3005640.4950000001</v>
      </c>
      <c r="Q34" s="96">
        <f t="shared" si="14"/>
        <v>3183932.1150000002</v>
      </c>
      <c r="R34" s="106">
        <f>SUM(I34:L34)</f>
        <v>9094708.4670000002</v>
      </c>
      <c r="S34" s="106">
        <f>SUM(N34:Q34)</f>
        <v>11584614.365999999</v>
      </c>
      <c r="T34" s="106">
        <f t="shared" si="1"/>
        <v>2489905.8989999983</v>
      </c>
      <c r="U34" s="55"/>
      <c r="V34" s="55"/>
      <c r="W34" s="55"/>
      <c r="X34" s="55"/>
      <c r="Y34" s="55"/>
      <c r="Z34" s="55"/>
      <c r="AA34" s="55"/>
      <c r="AB34" s="55"/>
    </row>
    <row r="35" spans="1:28" s="18" customFormat="1" ht="30" customHeight="1">
      <c r="A35" s="50" t="s">
        <v>24</v>
      </c>
      <c r="B35" s="20" t="s">
        <v>29</v>
      </c>
      <c r="C35" s="40" t="s">
        <v>35</v>
      </c>
      <c r="D35" s="8" t="s">
        <v>24</v>
      </c>
      <c r="E35" s="107" t="s">
        <v>601</v>
      </c>
      <c r="F35" s="21">
        <v>1695</v>
      </c>
      <c r="G35" s="21">
        <v>1521</v>
      </c>
      <c r="H35" s="21">
        <f t="shared" si="0"/>
        <v>174</v>
      </c>
      <c r="I35" s="96">
        <f>I33*1695</f>
        <v>3004828.2</v>
      </c>
      <c r="J35" s="96">
        <f t="shared" ref="J35:Q35" si="15">J33*1695</f>
        <v>2853235.875</v>
      </c>
      <c r="K35" s="96">
        <f t="shared" si="15"/>
        <v>2488999.02</v>
      </c>
      <c r="L35" s="96">
        <f t="shared" si="15"/>
        <v>1788065.67</v>
      </c>
      <c r="M35" s="96">
        <f t="shared" si="15"/>
        <v>1905461.3699999999</v>
      </c>
      <c r="N35" s="96">
        <f t="shared" si="15"/>
        <v>2850979.83</v>
      </c>
      <c r="O35" s="96">
        <f t="shared" si="15"/>
        <v>3161246.19</v>
      </c>
      <c r="P35" s="96">
        <f t="shared" si="15"/>
        <v>3349481.0249999999</v>
      </c>
      <c r="Q35" s="96">
        <f t="shared" si="15"/>
        <v>3548168.9250000003</v>
      </c>
      <c r="R35" s="106">
        <f>SUM(I35:L35)</f>
        <v>10135128.765000001</v>
      </c>
      <c r="S35" s="106">
        <f>SUM(N35:Q35)</f>
        <v>12909875.970000001</v>
      </c>
      <c r="T35" s="106">
        <f t="shared" si="1"/>
        <v>2774747.2050000001</v>
      </c>
      <c r="U35" s="55"/>
      <c r="V35" s="55"/>
      <c r="W35" s="55"/>
      <c r="X35" s="55"/>
      <c r="Y35" s="55"/>
      <c r="Z35" s="55"/>
      <c r="AA35" s="55"/>
      <c r="AB35" s="55"/>
    </row>
    <row r="36" spans="1:28" s="18" customFormat="1" ht="30" customHeight="1">
      <c r="A36" s="50" t="s">
        <v>24</v>
      </c>
      <c r="B36" s="20" t="s">
        <v>29</v>
      </c>
      <c r="C36" s="40" t="s">
        <v>35</v>
      </c>
      <c r="D36" s="8" t="s">
        <v>24</v>
      </c>
      <c r="E36" s="72" t="s">
        <v>602</v>
      </c>
      <c r="F36" s="21">
        <v>1695</v>
      </c>
      <c r="G36" s="21">
        <v>1521</v>
      </c>
      <c r="H36" s="21">
        <f t="shared" si="0"/>
        <v>174</v>
      </c>
      <c r="I36" s="55">
        <v>0.56870480000000001</v>
      </c>
      <c r="J36" s="55">
        <v>0.55884290000000003</v>
      </c>
      <c r="K36" s="55">
        <v>0.53780410000000001</v>
      </c>
      <c r="L36" s="55">
        <v>0.52925710000000004</v>
      </c>
      <c r="M36" s="55">
        <v>0.56936229999999999</v>
      </c>
      <c r="N36" s="55">
        <v>0.59040110000000001</v>
      </c>
      <c r="O36" s="55">
        <v>0.59368840000000001</v>
      </c>
      <c r="P36" s="55">
        <v>0.59763310000000003</v>
      </c>
      <c r="Q36" s="55">
        <v>0.60223539999999998</v>
      </c>
      <c r="R36" s="55">
        <v>0.79355690000000001</v>
      </c>
      <c r="S36" s="55">
        <v>0.81196579999999996</v>
      </c>
      <c r="T36" s="55">
        <f t="shared" si="1"/>
        <v>1.840889999999995E-2</v>
      </c>
      <c r="U36" s="55">
        <v>0.15909999999999999</v>
      </c>
      <c r="V36" s="55">
        <v>0.15909999999999999</v>
      </c>
      <c r="W36" s="55">
        <v>0.18410000000000001</v>
      </c>
      <c r="X36" s="55">
        <v>0.2913</v>
      </c>
      <c r="Y36" s="55">
        <v>0.13539999999999999</v>
      </c>
      <c r="Z36" s="55">
        <v>0.14729999999999999</v>
      </c>
      <c r="AA36" s="55">
        <v>0.16309999999999999</v>
      </c>
      <c r="AB36" s="55">
        <v>0.36620000000000003</v>
      </c>
    </row>
    <row r="37" spans="1:28" s="18" customFormat="1" ht="30" customHeight="1">
      <c r="A37" s="50" t="s">
        <v>24</v>
      </c>
      <c r="B37" s="25" t="s">
        <v>30</v>
      </c>
      <c r="C37" s="40" t="s">
        <v>35</v>
      </c>
      <c r="D37" s="8" t="s">
        <v>24</v>
      </c>
      <c r="E37" s="65" t="s">
        <v>28</v>
      </c>
      <c r="F37" s="21">
        <v>1881</v>
      </c>
      <c r="G37" s="21">
        <v>1685</v>
      </c>
      <c r="H37" s="21">
        <f t="shared" si="0"/>
        <v>196</v>
      </c>
      <c r="I37" s="54">
        <v>110.4</v>
      </c>
      <c r="J37" s="54">
        <v>31.97</v>
      </c>
      <c r="K37" s="54">
        <v>0</v>
      </c>
      <c r="L37" s="54">
        <v>0</v>
      </c>
      <c r="M37" s="54">
        <v>5.95</v>
      </c>
      <c r="N37" s="54">
        <v>180.46</v>
      </c>
      <c r="O37" s="54">
        <v>288</v>
      </c>
      <c r="P37" s="54">
        <v>376.35</v>
      </c>
      <c r="Q37" s="54">
        <v>444.15</v>
      </c>
      <c r="R37" s="22">
        <v>2143.44</v>
      </c>
      <c r="S37" s="22">
        <v>3402.04</v>
      </c>
      <c r="T37" s="22">
        <f t="shared" si="1"/>
        <v>1258.5999999999999</v>
      </c>
      <c r="U37" s="55"/>
      <c r="V37" s="55"/>
      <c r="W37" s="55"/>
      <c r="X37" s="55"/>
      <c r="Y37" s="55"/>
      <c r="Z37" s="55"/>
      <c r="AA37" s="55"/>
      <c r="AB37" s="55"/>
    </row>
    <row r="38" spans="1:28" s="18" customFormat="1" ht="30" customHeight="1">
      <c r="A38" s="50" t="s">
        <v>24</v>
      </c>
      <c r="B38" s="25" t="s">
        <v>30</v>
      </c>
      <c r="C38" s="40" t="s">
        <v>35</v>
      </c>
      <c r="D38" s="8" t="s">
        <v>24</v>
      </c>
      <c r="E38" s="61" t="s">
        <v>27</v>
      </c>
      <c r="F38" s="21">
        <v>1881</v>
      </c>
      <c r="G38" s="21">
        <v>1685</v>
      </c>
      <c r="H38" s="21">
        <f t="shared" si="0"/>
        <v>196</v>
      </c>
      <c r="I38" s="54">
        <v>1564.1690000000001</v>
      </c>
      <c r="J38" s="54">
        <v>1410.644</v>
      </c>
      <c r="K38" s="54">
        <v>1217.415</v>
      </c>
      <c r="L38" s="54">
        <v>882.83749999999998</v>
      </c>
      <c r="M38" s="54">
        <v>970.84960000000001</v>
      </c>
      <c r="N38" s="54">
        <v>1458.193</v>
      </c>
      <c r="O38" s="54">
        <v>1733.3789999999999</v>
      </c>
      <c r="P38" s="54">
        <v>1791.3789999999999</v>
      </c>
      <c r="Q38" s="54">
        <v>1881.7850000000001</v>
      </c>
      <c r="R38" s="22">
        <v>5075.0659999999998</v>
      </c>
      <c r="S38" s="22">
        <v>6864.7349999999997</v>
      </c>
      <c r="T38" s="22">
        <f t="shared" si="1"/>
        <v>1789.6689999999999</v>
      </c>
      <c r="U38" s="55"/>
      <c r="V38" s="55"/>
      <c r="W38" s="55"/>
      <c r="X38" s="55"/>
      <c r="Y38" s="55"/>
      <c r="Z38" s="55"/>
      <c r="AA38" s="55"/>
      <c r="AB38" s="55"/>
    </row>
    <row r="39" spans="1:28" s="18" customFormat="1" ht="30" customHeight="1">
      <c r="A39" s="50" t="s">
        <v>24</v>
      </c>
      <c r="B39" s="25" t="s">
        <v>30</v>
      </c>
      <c r="C39" s="40" t="s">
        <v>35</v>
      </c>
      <c r="D39" s="8" t="s">
        <v>24</v>
      </c>
      <c r="E39" s="105" t="s">
        <v>600</v>
      </c>
      <c r="F39" s="21">
        <v>1881</v>
      </c>
      <c r="G39" s="21">
        <v>1685</v>
      </c>
      <c r="H39" s="21">
        <f t="shared" si="0"/>
        <v>196</v>
      </c>
      <c r="I39" s="96">
        <f>I38*1685</f>
        <v>2635624.7650000001</v>
      </c>
      <c r="J39" s="96">
        <f t="shared" ref="J39:Q39" si="16">J38*1685</f>
        <v>2376935.14</v>
      </c>
      <c r="K39" s="96">
        <f t="shared" si="16"/>
        <v>2051344.2749999999</v>
      </c>
      <c r="L39" s="96">
        <f t="shared" si="16"/>
        <v>1487581.1875</v>
      </c>
      <c r="M39" s="96">
        <f t="shared" si="16"/>
        <v>1635881.5760000001</v>
      </c>
      <c r="N39" s="96">
        <f t="shared" si="16"/>
        <v>2457055.2050000001</v>
      </c>
      <c r="O39" s="96">
        <f t="shared" si="16"/>
        <v>2920743.6149999998</v>
      </c>
      <c r="P39" s="96">
        <f t="shared" si="16"/>
        <v>3018473.6149999998</v>
      </c>
      <c r="Q39" s="96">
        <f t="shared" si="16"/>
        <v>3170807.7250000001</v>
      </c>
      <c r="R39" s="106">
        <f>SUM(I39:L39)</f>
        <v>8551485.3674999997</v>
      </c>
      <c r="S39" s="106">
        <f>SUM(N39:Q39)</f>
        <v>11567080.16</v>
      </c>
      <c r="T39" s="106">
        <f t="shared" si="1"/>
        <v>3015594.7925000004</v>
      </c>
      <c r="U39" s="55"/>
      <c r="V39" s="55"/>
      <c r="W39" s="55"/>
      <c r="X39" s="55"/>
      <c r="Y39" s="55"/>
      <c r="Z39" s="55"/>
      <c r="AA39" s="55"/>
      <c r="AB39" s="55"/>
    </row>
    <row r="40" spans="1:28" s="18" customFormat="1" ht="30" customHeight="1">
      <c r="A40" s="50" t="s">
        <v>24</v>
      </c>
      <c r="B40" s="25" t="s">
        <v>30</v>
      </c>
      <c r="C40" s="40" t="s">
        <v>35</v>
      </c>
      <c r="D40" s="8" t="s">
        <v>24</v>
      </c>
      <c r="E40" s="107" t="s">
        <v>601</v>
      </c>
      <c r="F40" s="21">
        <v>1881</v>
      </c>
      <c r="G40" s="21">
        <v>1685</v>
      </c>
      <c r="H40" s="21">
        <f t="shared" si="0"/>
        <v>196</v>
      </c>
      <c r="I40" s="96">
        <f>I38*1881</f>
        <v>2942201.889</v>
      </c>
      <c r="J40" s="96">
        <f t="shared" ref="J40:Q40" si="17">J38*1881</f>
        <v>2653421.3640000001</v>
      </c>
      <c r="K40" s="96">
        <f t="shared" si="17"/>
        <v>2289957.6149999998</v>
      </c>
      <c r="L40" s="96">
        <f t="shared" si="17"/>
        <v>1660617.3374999999</v>
      </c>
      <c r="M40" s="96">
        <f t="shared" si="17"/>
        <v>1826168.0976</v>
      </c>
      <c r="N40" s="96">
        <f t="shared" si="17"/>
        <v>2742861.0329999998</v>
      </c>
      <c r="O40" s="96">
        <f t="shared" si="17"/>
        <v>3260485.8989999997</v>
      </c>
      <c r="P40" s="96">
        <f t="shared" si="17"/>
        <v>3369583.8989999997</v>
      </c>
      <c r="Q40" s="96">
        <f t="shared" si="17"/>
        <v>3539637.585</v>
      </c>
      <c r="R40" s="106">
        <f>SUM(I40:L40)</f>
        <v>9546198.2055000011</v>
      </c>
      <c r="S40" s="106">
        <f>SUM(N40:Q40)</f>
        <v>12912568.416000001</v>
      </c>
      <c r="T40" s="106">
        <f t="shared" si="1"/>
        <v>3366370.2105</v>
      </c>
      <c r="U40" s="55"/>
      <c r="V40" s="55"/>
      <c r="W40" s="55"/>
      <c r="X40" s="55"/>
      <c r="Y40" s="55"/>
      <c r="Z40" s="55"/>
      <c r="AA40" s="55"/>
      <c r="AB40" s="55"/>
    </row>
    <row r="41" spans="1:28" s="18" customFormat="1" ht="30" customHeight="1">
      <c r="A41" s="56" t="s">
        <v>24</v>
      </c>
      <c r="B41" s="66" t="s">
        <v>30</v>
      </c>
      <c r="C41" s="75" t="s">
        <v>35</v>
      </c>
      <c r="D41" s="67" t="s">
        <v>24</v>
      </c>
      <c r="E41" s="64" t="s">
        <v>602</v>
      </c>
      <c r="F41" s="21">
        <v>1881</v>
      </c>
      <c r="G41" s="21">
        <v>1685</v>
      </c>
      <c r="H41" s="21">
        <f t="shared" si="0"/>
        <v>196</v>
      </c>
      <c r="I41" s="55">
        <v>0.52225520000000003</v>
      </c>
      <c r="J41" s="55">
        <v>0.50623149999999995</v>
      </c>
      <c r="K41" s="55">
        <v>0.48486649999999998</v>
      </c>
      <c r="L41" s="55">
        <v>0.4563798</v>
      </c>
      <c r="M41" s="55">
        <v>0.5020772</v>
      </c>
      <c r="N41" s="55">
        <v>0.53709200000000001</v>
      </c>
      <c r="O41" s="55">
        <v>0.5548961</v>
      </c>
      <c r="P41" s="55">
        <v>0.56795249999999997</v>
      </c>
      <c r="Q41" s="55">
        <v>0.5768546</v>
      </c>
      <c r="R41" s="55">
        <v>0.74836800000000003</v>
      </c>
      <c r="S41" s="55">
        <v>0.77507420000000005</v>
      </c>
      <c r="T41" s="55">
        <f t="shared" si="1"/>
        <v>2.6706200000000013E-2</v>
      </c>
      <c r="U41" s="55">
        <v>0.16439999999999999</v>
      </c>
      <c r="V41" s="55">
        <v>0.18809999999999999</v>
      </c>
      <c r="W41" s="55">
        <v>0.15429999999999999</v>
      </c>
      <c r="X41" s="55">
        <v>0.24149999999999999</v>
      </c>
      <c r="Y41" s="55">
        <v>0.13059999999999999</v>
      </c>
      <c r="Z41" s="55">
        <v>0.16020000000000001</v>
      </c>
      <c r="AA41" s="55">
        <v>0.15129999999999999</v>
      </c>
      <c r="AB41" s="55">
        <v>0.33289999999999997</v>
      </c>
    </row>
    <row r="42" spans="1:28" s="18" customFormat="1" ht="30" customHeight="1">
      <c r="A42" s="50" t="s">
        <v>24</v>
      </c>
      <c r="B42" s="26" t="s">
        <v>31</v>
      </c>
      <c r="C42" s="40" t="s">
        <v>35</v>
      </c>
      <c r="D42" s="8" t="s">
        <v>24</v>
      </c>
      <c r="E42" s="65" t="s">
        <v>28</v>
      </c>
      <c r="F42" s="21">
        <v>1440</v>
      </c>
      <c r="G42" s="21">
        <v>1315</v>
      </c>
      <c r="H42" s="21">
        <f t="shared" si="0"/>
        <v>125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24.97</v>
      </c>
      <c r="Q42" s="54">
        <v>0</v>
      </c>
      <c r="R42" s="22">
        <v>1388.1</v>
      </c>
      <c r="S42" s="22">
        <v>1951.74</v>
      </c>
      <c r="T42" s="22">
        <f t="shared" si="1"/>
        <v>563.6400000000001</v>
      </c>
      <c r="U42" s="55"/>
      <c r="V42" s="55"/>
      <c r="W42" s="55"/>
      <c r="X42" s="55"/>
      <c r="Y42" s="55"/>
      <c r="Z42" s="55"/>
      <c r="AA42" s="55"/>
      <c r="AB42" s="55"/>
    </row>
    <row r="43" spans="1:28" s="18" customFormat="1" ht="30" customHeight="1">
      <c r="A43" s="50" t="s">
        <v>24</v>
      </c>
      <c r="B43" s="26" t="s">
        <v>31</v>
      </c>
      <c r="C43" s="40" t="s">
        <v>35</v>
      </c>
      <c r="D43" s="8" t="s">
        <v>24</v>
      </c>
      <c r="E43" s="61" t="s">
        <v>27</v>
      </c>
      <c r="F43" s="21">
        <v>1440</v>
      </c>
      <c r="G43" s="21">
        <v>1315</v>
      </c>
      <c r="H43" s="21">
        <f t="shared" si="0"/>
        <v>125</v>
      </c>
      <c r="I43" s="54">
        <v>1187.683</v>
      </c>
      <c r="J43" s="54">
        <v>1134.1479999999999</v>
      </c>
      <c r="K43" s="54">
        <v>984.87829999999997</v>
      </c>
      <c r="L43" s="54">
        <v>857.19</v>
      </c>
      <c r="M43" s="54">
        <v>891.30529999999999</v>
      </c>
      <c r="N43" s="54">
        <v>1181.71</v>
      </c>
      <c r="O43" s="54">
        <v>1326.771</v>
      </c>
      <c r="P43" s="54">
        <v>1462.07</v>
      </c>
      <c r="Q43" s="54">
        <v>1554.0809999999999</v>
      </c>
      <c r="R43" s="22">
        <v>4163.8990000000003</v>
      </c>
      <c r="S43" s="22">
        <v>5524.6329999999998</v>
      </c>
      <c r="T43" s="22">
        <f t="shared" si="1"/>
        <v>1360.7339999999995</v>
      </c>
      <c r="U43" s="55"/>
      <c r="V43" s="55"/>
      <c r="W43" s="55"/>
      <c r="X43" s="55"/>
      <c r="Y43" s="55"/>
      <c r="Z43" s="55"/>
      <c r="AA43" s="55"/>
      <c r="AB43" s="55"/>
    </row>
    <row r="44" spans="1:28" s="18" customFormat="1" ht="30" customHeight="1">
      <c r="A44" s="50" t="s">
        <v>24</v>
      </c>
      <c r="B44" s="26" t="s">
        <v>31</v>
      </c>
      <c r="C44" s="40" t="s">
        <v>35</v>
      </c>
      <c r="D44" s="8" t="s">
        <v>24</v>
      </c>
      <c r="E44" s="105" t="s">
        <v>600</v>
      </c>
      <c r="F44" s="21">
        <v>1440</v>
      </c>
      <c r="G44" s="21">
        <v>1315</v>
      </c>
      <c r="H44" s="21">
        <f t="shared" si="0"/>
        <v>125</v>
      </c>
      <c r="I44" s="96">
        <f>I43*1315</f>
        <v>1561803.145</v>
      </c>
      <c r="J44" s="96">
        <f t="shared" ref="J44:Q44" si="18">J43*1315</f>
        <v>1491404.6199999999</v>
      </c>
      <c r="K44" s="96">
        <f t="shared" si="18"/>
        <v>1295114.9645</v>
      </c>
      <c r="L44" s="96">
        <f t="shared" si="18"/>
        <v>1127204.8500000001</v>
      </c>
      <c r="M44" s="96">
        <f t="shared" si="18"/>
        <v>1172066.4694999999</v>
      </c>
      <c r="N44" s="96">
        <f t="shared" si="18"/>
        <v>1553948.6500000001</v>
      </c>
      <c r="O44" s="96">
        <f t="shared" si="18"/>
        <v>1744703.865</v>
      </c>
      <c r="P44" s="96">
        <f t="shared" si="18"/>
        <v>1922622.0499999998</v>
      </c>
      <c r="Q44" s="96">
        <f t="shared" si="18"/>
        <v>2043616.5149999999</v>
      </c>
      <c r="R44" s="106">
        <f>SUM(I44:L44)</f>
        <v>5475527.5794999991</v>
      </c>
      <c r="S44" s="106">
        <f>SUM(N44:Q44)</f>
        <v>7264891.0799999991</v>
      </c>
      <c r="T44" s="106">
        <f t="shared" si="1"/>
        <v>1789363.5005000001</v>
      </c>
      <c r="U44" s="55"/>
      <c r="V44" s="55"/>
      <c r="W44" s="55"/>
      <c r="X44" s="55"/>
      <c r="Y44" s="55"/>
      <c r="Z44" s="55"/>
      <c r="AA44" s="55"/>
      <c r="AB44" s="55"/>
    </row>
    <row r="45" spans="1:28" s="18" customFormat="1" ht="30" customHeight="1">
      <c r="A45" s="50" t="s">
        <v>24</v>
      </c>
      <c r="B45" s="26" t="s">
        <v>31</v>
      </c>
      <c r="C45" s="40" t="s">
        <v>35</v>
      </c>
      <c r="D45" s="8" t="s">
        <v>24</v>
      </c>
      <c r="E45" s="107" t="s">
        <v>601</v>
      </c>
      <c r="F45" s="21">
        <v>1440</v>
      </c>
      <c r="G45" s="21">
        <v>1315</v>
      </c>
      <c r="H45" s="21">
        <f t="shared" si="0"/>
        <v>125</v>
      </c>
      <c r="I45" s="96">
        <f>I43*1440</f>
        <v>1710263.52</v>
      </c>
      <c r="J45" s="96">
        <f t="shared" ref="J45:Q45" si="19">J43*1440</f>
        <v>1633173.1199999999</v>
      </c>
      <c r="K45" s="96">
        <f t="shared" si="19"/>
        <v>1418224.7519999999</v>
      </c>
      <c r="L45" s="96">
        <f t="shared" si="19"/>
        <v>1234353.6000000001</v>
      </c>
      <c r="M45" s="96">
        <f t="shared" si="19"/>
        <v>1283479.632</v>
      </c>
      <c r="N45" s="96">
        <f t="shared" si="19"/>
        <v>1701662.4000000001</v>
      </c>
      <c r="O45" s="96">
        <f t="shared" si="19"/>
        <v>1910550.24</v>
      </c>
      <c r="P45" s="96">
        <f t="shared" si="19"/>
        <v>2105380.7999999998</v>
      </c>
      <c r="Q45" s="96">
        <f t="shared" si="19"/>
        <v>2237876.6399999997</v>
      </c>
      <c r="R45" s="106">
        <f>SUM(I45:L45)</f>
        <v>5996014.9919999987</v>
      </c>
      <c r="S45" s="106">
        <f>SUM(N45:Q45)</f>
        <v>7955470.0799999991</v>
      </c>
      <c r="T45" s="106">
        <f t="shared" si="1"/>
        <v>1959455.0880000005</v>
      </c>
      <c r="U45" s="55"/>
      <c r="V45" s="55"/>
      <c r="W45" s="55"/>
      <c r="X45" s="55"/>
      <c r="Y45" s="55"/>
      <c r="Z45" s="55"/>
      <c r="AA45" s="55"/>
      <c r="AB45" s="55"/>
    </row>
    <row r="46" spans="1:28" s="18" customFormat="1" ht="30" customHeight="1">
      <c r="A46" s="50" t="s">
        <v>24</v>
      </c>
      <c r="B46" s="26" t="s">
        <v>31</v>
      </c>
      <c r="C46" s="40" t="s">
        <v>35</v>
      </c>
      <c r="D46" s="8" t="s">
        <v>24</v>
      </c>
      <c r="E46" s="76" t="s">
        <v>602</v>
      </c>
      <c r="F46" s="21">
        <v>1440</v>
      </c>
      <c r="G46" s="21">
        <v>1315</v>
      </c>
      <c r="H46" s="21">
        <f t="shared" si="0"/>
        <v>125</v>
      </c>
      <c r="I46" s="55">
        <v>0.42965779999999998</v>
      </c>
      <c r="J46" s="55">
        <v>0.43802279999999999</v>
      </c>
      <c r="K46" s="55">
        <v>0.44410650000000002</v>
      </c>
      <c r="L46" s="55">
        <v>0.45475290000000002</v>
      </c>
      <c r="M46" s="55">
        <v>0.47376430000000003</v>
      </c>
      <c r="N46" s="55">
        <v>0.47072239999999999</v>
      </c>
      <c r="O46" s="55">
        <v>0.4897338</v>
      </c>
      <c r="P46" s="55">
        <v>0.50418249999999998</v>
      </c>
      <c r="Q46" s="55">
        <v>0.49733840000000001</v>
      </c>
      <c r="R46" s="55">
        <v>0.70190109999999994</v>
      </c>
      <c r="S46" s="55">
        <v>0.7026616</v>
      </c>
      <c r="T46" s="55">
        <f t="shared" si="1"/>
        <v>7.605000000000528E-4</v>
      </c>
      <c r="U46" s="55">
        <v>0.1802</v>
      </c>
      <c r="V46" s="55">
        <v>0.1734</v>
      </c>
      <c r="W46" s="55">
        <v>0.15359999999999999</v>
      </c>
      <c r="X46" s="55">
        <v>0.19470000000000001</v>
      </c>
      <c r="Y46" s="55">
        <v>0.1376</v>
      </c>
      <c r="Z46" s="55">
        <v>0.14979999999999999</v>
      </c>
      <c r="AA46" s="55">
        <v>0.1361</v>
      </c>
      <c r="AB46" s="55">
        <v>0.27910000000000001</v>
      </c>
    </row>
    <row r="47" spans="1:28" s="18" customFormat="1" ht="30" customHeight="1">
      <c r="A47" s="50" t="s">
        <v>24</v>
      </c>
      <c r="B47" s="27" t="s">
        <v>32</v>
      </c>
      <c r="C47" s="40" t="s">
        <v>35</v>
      </c>
      <c r="D47" s="8" t="s">
        <v>24</v>
      </c>
      <c r="E47" s="65" t="s">
        <v>28</v>
      </c>
      <c r="F47" s="21">
        <v>1074</v>
      </c>
      <c r="G47" s="21">
        <v>974</v>
      </c>
      <c r="H47" s="21">
        <f t="shared" si="0"/>
        <v>100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63.484999999999999</v>
      </c>
      <c r="P47" s="54">
        <v>58.994999999999997</v>
      </c>
      <c r="Q47" s="54">
        <v>62.25</v>
      </c>
      <c r="R47" s="22">
        <v>4028.5940000000001</v>
      </c>
      <c r="S47" s="22">
        <v>5636.2389999999996</v>
      </c>
      <c r="T47" s="22">
        <f t="shared" si="1"/>
        <v>1607.6449999999995</v>
      </c>
      <c r="U47" s="55"/>
      <c r="V47" s="55"/>
      <c r="W47" s="55"/>
      <c r="X47" s="55"/>
      <c r="Y47" s="55"/>
      <c r="Z47" s="55"/>
      <c r="AA47" s="55"/>
      <c r="AB47" s="55"/>
    </row>
    <row r="48" spans="1:28" s="18" customFormat="1" ht="30" customHeight="1">
      <c r="A48" s="50" t="s">
        <v>24</v>
      </c>
      <c r="B48" s="27" t="s">
        <v>32</v>
      </c>
      <c r="C48" s="40" t="s">
        <v>35</v>
      </c>
      <c r="D48" s="8" t="s">
        <v>24</v>
      </c>
      <c r="E48" s="61" t="s">
        <v>27</v>
      </c>
      <c r="F48" s="21">
        <v>1074</v>
      </c>
      <c r="G48" s="21">
        <v>974</v>
      </c>
      <c r="H48" s="21">
        <f t="shared" si="0"/>
        <v>100</v>
      </c>
      <c r="I48" s="54">
        <v>1254.741</v>
      </c>
      <c r="J48" s="54">
        <v>1126.3230000000001</v>
      </c>
      <c r="K48" s="54">
        <v>978.71900000000005</v>
      </c>
      <c r="L48" s="54">
        <v>668.81079999999997</v>
      </c>
      <c r="M48" s="54">
        <v>760.97569999999996</v>
      </c>
      <c r="N48" s="54">
        <v>1113.49</v>
      </c>
      <c r="O48" s="54">
        <v>1395.0329999999999</v>
      </c>
      <c r="P48" s="54">
        <v>1539.32</v>
      </c>
      <c r="Q48" s="54">
        <v>1588.3969999999999</v>
      </c>
      <c r="R48" s="22">
        <v>1215.24</v>
      </c>
      <c r="S48" s="22">
        <v>2510.1550000000002</v>
      </c>
      <c r="T48" s="22">
        <f t="shared" si="1"/>
        <v>1294.9150000000002</v>
      </c>
      <c r="U48" s="55"/>
      <c r="V48" s="55"/>
      <c r="W48" s="55"/>
      <c r="X48" s="55"/>
      <c r="Y48" s="55"/>
      <c r="Z48" s="55"/>
      <c r="AA48" s="55"/>
      <c r="AB48" s="55"/>
    </row>
    <row r="49" spans="1:28" s="18" customFormat="1" ht="30" customHeight="1">
      <c r="A49" s="50" t="s">
        <v>24</v>
      </c>
      <c r="B49" s="27" t="s">
        <v>32</v>
      </c>
      <c r="C49" s="40" t="s">
        <v>35</v>
      </c>
      <c r="D49" s="8" t="s">
        <v>24</v>
      </c>
      <c r="E49" s="105" t="s">
        <v>600</v>
      </c>
      <c r="F49" s="21">
        <v>1074</v>
      </c>
      <c r="G49" s="21">
        <v>974</v>
      </c>
      <c r="H49" s="21">
        <f t="shared" si="0"/>
        <v>100</v>
      </c>
      <c r="I49" s="96">
        <f>I48*974</f>
        <v>1222117.7339999999</v>
      </c>
      <c r="J49" s="96">
        <f t="shared" ref="J49:Q49" si="20">J48*974</f>
        <v>1097038.6020000002</v>
      </c>
      <c r="K49" s="96">
        <f t="shared" si="20"/>
        <v>953272.3060000001</v>
      </c>
      <c r="L49" s="96">
        <f t="shared" si="20"/>
        <v>651421.71919999993</v>
      </c>
      <c r="M49" s="96">
        <f t="shared" si="20"/>
        <v>741190.33179999993</v>
      </c>
      <c r="N49" s="96">
        <f t="shared" si="20"/>
        <v>1084539.26</v>
      </c>
      <c r="O49" s="96">
        <f t="shared" si="20"/>
        <v>1358762.142</v>
      </c>
      <c r="P49" s="96">
        <f t="shared" si="20"/>
        <v>1499297.68</v>
      </c>
      <c r="Q49" s="96">
        <f t="shared" si="20"/>
        <v>1547098.6779999998</v>
      </c>
      <c r="R49" s="106">
        <f>SUM(I49:L49)</f>
        <v>3923850.3612000002</v>
      </c>
      <c r="S49" s="106">
        <f>SUM(N49:Q49)</f>
        <v>5489697.7599999998</v>
      </c>
      <c r="T49" s="106">
        <f t="shared" si="1"/>
        <v>1565847.3987999996</v>
      </c>
      <c r="U49" s="55"/>
      <c r="V49" s="55"/>
      <c r="W49" s="55"/>
      <c r="X49" s="55"/>
      <c r="Y49" s="55"/>
      <c r="Z49" s="55"/>
      <c r="AA49" s="55"/>
      <c r="AB49" s="55"/>
    </row>
    <row r="50" spans="1:28" s="18" customFormat="1" ht="30" customHeight="1">
      <c r="A50" s="50" t="s">
        <v>24</v>
      </c>
      <c r="B50" s="27" t="s">
        <v>32</v>
      </c>
      <c r="C50" s="40" t="s">
        <v>35</v>
      </c>
      <c r="D50" s="8" t="s">
        <v>24</v>
      </c>
      <c r="E50" s="107" t="s">
        <v>601</v>
      </c>
      <c r="F50" s="21">
        <v>1074</v>
      </c>
      <c r="G50" s="21">
        <v>974</v>
      </c>
      <c r="H50" s="21">
        <f t="shared" si="0"/>
        <v>100</v>
      </c>
      <c r="I50" s="96">
        <f>I48*1074</f>
        <v>1347591.834</v>
      </c>
      <c r="J50" s="96">
        <f t="shared" ref="J50:Q50" si="21">J48*1074</f>
        <v>1209670.902</v>
      </c>
      <c r="K50" s="96">
        <f t="shared" si="21"/>
        <v>1051144.206</v>
      </c>
      <c r="L50" s="96">
        <f t="shared" si="21"/>
        <v>718302.79920000001</v>
      </c>
      <c r="M50" s="96">
        <f t="shared" si="21"/>
        <v>817287.90179999999</v>
      </c>
      <c r="N50" s="96">
        <f t="shared" si="21"/>
        <v>1195888.26</v>
      </c>
      <c r="O50" s="96">
        <f t="shared" si="21"/>
        <v>1498265.4419999998</v>
      </c>
      <c r="P50" s="96">
        <f t="shared" si="21"/>
        <v>1653229.68</v>
      </c>
      <c r="Q50" s="96">
        <f t="shared" si="21"/>
        <v>1705938.378</v>
      </c>
      <c r="R50" s="106">
        <f>SUM(I50:L50)</f>
        <v>4326709.7412</v>
      </c>
      <c r="S50" s="106">
        <f>SUM(N50:Q50)</f>
        <v>6053321.7599999998</v>
      </c>
      <c r="T50" s="106">
        <f t="shared" si="1"/>
        <v>1726612.0187999997</v>
      </c>
      <c r="U50" s="55"/>
      <c r="V50" s="55"/>
      <c r="W50" s="55"/>
      <c r="X50" s="55"/>
      <c r="Y50" s="55"/>
      <c r="Z50" s="55"/>
      <c r="AA50" s="55"/>
      <c r="AB50" s="55"/>
    </row>
    <row r="51" spans="1:28" s="18" customFormat="1" ht="30" customHeight="1">
      <c r="A51" s="56" t="s">
        <v>24</v>
      </c>
      <c r="B51" s="70" t="s">
        <v>32</v>
      </c>
      <c r="C51" s="75" t="s">
        <v>35</v>
      </c>
      <c r="D51" s="67" t="s">
        <v>24</v>
      </c>
      <c r="E51" s="68" t="s">
        <v>602</v>
      </c>
      <c r="F51" s="21">
        <v>1074</v>
      </c>
      <c r="G51" s="21">
        <v>974</v>
      </c>
      <c r="H51" s="21">
        <f t="shared" si="0"/>
        <v>100</v>
      </c>
      <c r="I51" s="55">
        <v>0.44353179999999998</v>
      </c>
      <c r="J51" s="55">
        <v>0.44250509999999998</v>
      </c>
      <c r="K51" s="55">
        <v>0.4281314</v>
      </c>
      <c r="L51" s="55">
        <v>0.39322380000000001</v>
      </c>
      <c r="M51" s="55">
        <v>0.40349079999999998</v>
      </c>
      <c r="N51" s="55">
        <v>0.46406570000000003</v>
      </c>
      <c r="O51" s="55">
        <v>0.51232029999999995</v>
      </c>
      <c r="P51" s="55">
        <v>0.50821360000000004</v>
      </c>
      <c r="Q51" s="55">
        <v>0.50924020000000003</v>
      </c>
      <c r="R51" s="55">
        <v>0.70225870000000001</v>
      </c>
      <c r="S51" s="55">
        <v>0.70533880000000004</v>
      </c>
      <c r="T51" s="55">
        <f t="shared" si="1"/>
        <v>3.08010000000003E-3</v>
      </c>
      <c r="U51" s="55">
        <v>0.1961</v>
      </c>
      <c r="V51" s="55">
        <v>0.17349999999999999</v>
      </c>
      <c r="W51" s="55">
        <v>0.1663</v>
      </c>
      <c r="X51" s="55">
        <v>0.1663</v>
      </c>
      <c r="Y51" s="55">
        <v>0.12529999999999999</v>
      </c>
      <c r="Z51" s="55">
        <v>0.13550000000000001</v>
      </c>
      <c r="AA51" s="55">
        <v>0.1807</v>
      </c>
      <c r="AB51" s="55">
        <v>0.26390000000000002</v>
      </c>
    </row>
    <row r="52" spans="1:28" s="18" customFormat="1" ht="12.75">
      <c r="F52" s="21"/>
      <c r="G52" s="21"/>
      <c r="H52" s="21">
        <f t="shared" si="0"/>
        <v>0</v>
      </c>
      <c r="R52" s="55"/>
      <c r="S52" s="55"/>
      <c r="U52" s="55"/>
      <c r="V52" s="55"/>
      <c r="W52" s="55"/>
      <c r="X52" s="55"/>
      <c r="Y52" s="55"/>
      <c r="Z52" s="55"/>
      <c r="AA52" s="55"/>
      <c r="AB52" s="55"/>
    </row>
  </sheetData>
  <phoneticPr fontId="33" type="noConversion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L38"/>
  <sheetViews>
    <sheetView workbookViewId="0">
      <selection activeCell="J6" sqref="J6"/>
    </sheetView>
  </sheetViews>
  <sheetFormatPr defaultRowHeight="15"/>
  <cols>
    <col min="2" max="7" width="0" hidden="1" customWidth="1"/>
    <col min="8" max="8" width="21.140625" customWidth="1"/>
  </cols>
  <sheetData>
    <row r="1" spans="1:12" ht="73.349999999999994" customHeight="1" thickBot="1">
      <c r="A1" s="342" t="s">
        <v>603</v>
      </c>
      <c r="B1" s="343" t="s">
        <v>604</v>
      </c>
      <c r="C1" s="343" t="s">
        <v>605</v>
      </c>
      <c r="D1" s="342" t="s">
        <v>606</v>
      </c>
      <c r="E1" s="343" t="s">
        <v>607</v>
      </c>
      <c r="F1" s="342" t="s">
        <v>608</v>
      </c>
      <c r="G1" s="342" t="s">
        <v>609</v>
      </c>
      <c r="H1" s="347" t="s">
        <v>610</v>
      </c>
    </row>
    <row r="2" spans="1:12" ht="15.75" thickBot="1">
      <c r="A2" s="344">
        <v>1</v>
      </c>
      <c r="B2" s="345">
        <v>12071</v>
      </c>
      <c r="C2" s="345">
        <v>12083</v>
      </c>
      <c r="D2" s="344"/>
      <c r="E2" s="344"/>
      <c r="F2" s="345">
        <v>11880</v>
      </c>
      <c r="G2" s="345">
        <v>11770</v>
      </c>
      <c r="H2" s="348">
        <v>11880</v>
      </c>
    </row>
    <row r="3" spans="1:12" ht="15.75" thickBot="1">
      <c r="A3" s="344"/>
      <c r="B3" s="344"/>
      <c r="C3" s="344"/>
      <c r="D3" s="345">
        <v>3311</v>
      </c>
      <c r="E3" s="345">
        <v>4140</v>
      </c>
      <c r="F3" s="344"/>
      <c r="G3" s="344"/>
      <c r="H3" s="349"/>
    </row>
    <row r="4" spans="1:12" ht="15.75" thickBot="1">
      <c r="A4" s="344">
        <v>2</v>
      </c>
      <c r="B4" s="346">
        <v>15379</v>
      </c>
      <c r="C4" s="346">
        <v>15394</v>
      </c>
      <c r="D4" s="344"/>
      <c r="E4" s="344"/>
      <c r="F4" s="346">
        <v>16020</v>
      </c>
      <c r="G4" s="346">
        <v>15930</v>
      </c>
      <c r="H4" s="348">
        <v>16020</v>
      </c>
    </row>
    <row r="5" spans="1:12" ht="15.75" thickBot="1">
      <c r="A5" s="344"/>
      <c r="B5" s="344"/>
      <c r="C5" s="344"/>
      <c r="D5" s="346">
        <v>3474</v>
      </c>
      <c r="E5" s="345">
        <v>4140</v>
      </c>
      <c r="F5" s="344"/>
      <c r="G5" s="344"/>
      <c r="H5" s="349"/>
    </row>
    <row r="6" spans="1:12" ht="15.75" thickBot="1">
      <c r="A6" s="344">
        <v>3</v>
      </c>
      <c r="B6" s="346">
        <v>18850</v>
      </c>
      <c r="C6" s="346">
        <v>18869</v>
      </c>
      <c r="D6" s="344"/>
      <c r="E6" s="344"/>
      <c r="F6" s="346">
        <v>20160</v>
      </c>
      <c r="G6" s="346">
        <v>20090</v>
      </c>
      <c r="H6" s="348">
        <v>20160</v>
      </c>
      <c r="I6" s="354">
        <f>H6/12</f>
        <v>1680</v>
      </c>
      <c r="J6" s="455"/>
      <c r="K6">
        <f>519*12</f>
        <v>6228</v>
      </c>
      <c r="L6" s="455"/>
    </row>
    <row r="7" spans="1:12" ht="15.75" thickBot="1">
      <c r="A7" s="344"/>
      <c r="B7" s="344"/>
      <c r="C7" s="344"/>
      <c r="D7" s="346">
        <v>5385</v>
      </c>
      <c r="E7" s="345">
        <v>4140</v>
      </c>
      <c r="F7" s="344"/>
      <c r="G7" s="344"/>
      <c r="H7" s="349"/>
    </row>
    <row r="8" spans="1:12" ht="15.75" thickBot="1">
      <c r="A8" s="350">
        <v>4</v>
      </c>
      <c r="B8" s="351">
        <v>24230</v>
      </c>
      <c r="C8" s="351">
        <v>24254</v>
      </c>
      <c r="D8" s="350"/>
      <c r="E8" s="350"/>
      <c r="F8" s="352" t="s">
        <v>611</v>
      </c>
      <c r="G8" s="352" t="s">
        <v>612</v>
      </c>
      <c r="H8" s="353">
        <v>24300</v>
      </c>
    </row>
    <row r="38" spans="9:9">
      <c r="I38" t="s">
        <v>613</v>
      </c>
    </row>
  </sheetData>
  <phoneticPr fontId="33" type="noConversion"/>
  <hyperlinks>
    <hyperlink ref="B1" r:id="rId1" location="a" display="https://aspe.hhs.gov/computations-2016-poverty-guidelines - a"/>
    <hyperlink ref="C1" r:id="rId2" location="b" display="https://aspe.hhs.gov/computations-2016-poverty-guidelines - b"/>
    <hyperlink ref="E1" r:id="rId3" location="c" display="https://aspe.hhs.gov/computations-2016-poverty-guidelines - c"/>
    <hyperlink ref="H1" r:id="rId4" location="e" display="https://aspe.hhs.gov/computations-2016-poverty-guidelines - e"/>
    <hyperlink ref="F8" r:id="rId5" location="d" display="https://aspe.hhs.gov/computations-2016-poverty-guidelines - d"/>
    <hyperlink ref="G8" r:id="rId6" location="d" display="https://aspe.hhs.gov/computations-2016-poverty-guidelines - d"/>
  </hyperlinks>
  <pageMargins left="0.7" right="0.7" top="0.75" bottom="0.75" header="0.3" footer="0.3"/>
  <pageSetup orientation="portrait" r:id="rId7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P35"/>
  <sheetViews>
    <sheetView topLeftCell="A10" workbookViewId="0">
      <selection activeCell="L21" sqref="L21"/>
    </sheetView>
  </sheetViews>
  <sheetFormatPr defaultRowHeight="15"/>
  <cols>
    <col min="2" max="2" width="9.140625" style="2"/>
  </cols>
  <sheetData>
    <row r="1" spans="2:16" ht="15.75" thickBot="1"/>
    <row r="2" spans="2:16" ht="18" customHeight="1" thickBot="1">
      <c r="B2" s="766" t="s">
        <v>614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8"/>
      <c r="P2" s="110"/>
    </row>
    <row r="3" spans="2:16" ht="18" customHeight="1">
      <c r="B3" s="123"/>
      <c r="C3" s="124" t="s">
        <v>615</v>
      </c>
      <c r="D3" s="124" t="s">
        <v>616</v>
      </c>
      <c r="E3" s="124" t="s">
        <v>617</v>
      </c>
      <c r="F3" s="124" t="s">
        <v>618</v>
      </c>
      <c r="G3" s="124" t="s">
        <v>619</v>
      </c>
      <c r="H3" s="124" t="s">
        <v>620</v>
      </c>
      <c r="I3" s="124" t="s">
        <v>621</v>
      </c>
      <c r="J3" s="124" t="s">
        <v>622</v>
      </c>
      <c r="K3" s="124" t="s">
        <v>623</v>
      </c>
      <c r="L3" s="124" t="s">
        <v>624</v>
      </c>
      <c r="M3" s="124" t="s">
        <v>625</v>
      </c>
      <c r="N3" s="124" t="s">
        <v>626</v>
      </c>
      <c r="O3" s="125" t="s">
        <v>267</v>
      </c>
      <c r="P3" s="110"/>
    </row>
    <row r="4" spans="2:16" ht="18" customHeight="1">
      <c r="B4" s="765">
        <v>2011</v>
      </c>
      <c r="C4" s="769" t="s">
        <v>627</v>
      </c>
      <c r="D4" s="764"/>
      <c r="E4" s="764"/>
      <c r="F4" s="764"/>
      <c r="G4" s="764"/>
      <c r="H4" s="764"/>
      <c r="I4" s="764"/>
      <c r="J4" s="764"/>
      <c r="K4" s="764"/>
      <c r="L4" s="115">
        <v>1001</v>
      </c>
      <c r="M4" s="114">
        <v>887</v>
      </c>
      <c r="N4" s="114">
        <v>885</v>
      </c>
      <c r="O4" s="117">
        <f>SUM(C4:N4)</f>
        <v>2773</v>
      </c>
      <c r="P4" s="110"/>
    </row>
    <row r="5" spans="2:16" ht="18" customHeight="1">
      <c r="B5" s="765"/>
      <c r="C5" s="769"/>
      <c r="D5" s="764"/>
      <c r="E5" s="764"/>
      <c r="F5" s="764"/>
      <c r="G5" s="764"/>
      <c r="H5" s="764"/>
      <c r="I5" s="764"/>
      <c r="J5" s="764"/>
      <c r="K5" s="764"/>
      <c r="L5" s="116">
        <f t="shared" ref="L5:O5" si="0">L4/$N16</f>
        <v>0.37674068498306362</v>
      </c>
      <c r="M5" s="116">
        <f t="shared" si="0"/>
        <v>0.33383515242754985</v>
      </c>
      <c r="N5" s="116">
        <f t="shared" si="0"/>
        <v>0.33308242378622505</v>
      </c>
      <c r="O5" s="118">
        <f t="shared" si="0"/>
        <v>1.0436582611968386</v>
      </c>
      <c r="P5" s="110"/>
    </row>
    <row r="6" spans="2:16" ht="18" customHeight="1">
      <c r="B6" s="765">
        <v>2012</v>
      </c>
      <c r="C6" s="114">
        <v>803</v>
      </c>
      <c r="D6" s="114">
        <v>829</v>
      </c>
      <c r="E6" s="114">
        <v>772</v>
      </c>
      <c r="F6" s="114">
        <v>752</v>
      </c>
      <c r="G6" s="114">
        <v>630</v>
      </c>
      <c r="H6" s="114">
        <v>521</v>
      </c>
      <c r="I6" s="114">
        <v>548</v>
      </c>
      <c r="J6" s="114">
        <v>538</v>
      </c>
      <c r="K6" s="114">
        <v>576</v>
      </c>
      <c r="L6" s="114">
        <v>775</v>
      </c>
      <c r="M6" s="114">
        <v>507</v>
      </c>
      <c r="N6" s="114">
        <v>553</v>
      </c>
      <c r="O6" s="117">
        <f t="shared" ref="O6:O12" si="1">SUM(C6:N6)</f>
        <v>7804</v>
      </c>
      <c r="P6" s="110"/>
    </row>
    <row r="7" spans="2:16" ht="18" customHeight="1">
      <c r="B7" s="765"/>
      <c r="C7" s="116">
        <f>C6/$N16</f>
        <v>0.30222054949190819</v>
      </c>
      <c r="D7" s="116">
        <f t="shared" ref="D7:O7" si="2">D6/$N16</f>
        <v>0.31200602182913062</v>
      </c>
      <c r="E7" s="116">
        <f t="shared" si="2"/>
        <v>0.29055325555137373</v>
      </c>
      <c r="F7" s="116">
        <f t="shared" si="2"/>
        <v>0.28302596913812572</v>
      </c>
      <c r="G7" s="116">
        <f t="shared" si="2"/>
        <v>0.23710952201731275</v>
      </c>
      <c r="H7" s="116">
        <f t="shared" si="2"/>
        <v>0.19608581106511103</v>
      </c>
      <c r="I7" s="116">
        <f t="shared" si="2"/>
        <v>0.20624764772299586</v>
      </c>
      <c r="J7" s="116">
        <f t="shared" si="2"/>
        <v>0.20248400451637186</v>
      </c>
      <c r="K7" s="116">
        <f t="shared" si="2"/>
        <v>0.2167858487015431</v>
      </c>
      <c r="L7" s="116">
        <f t="shared" si="2"/>
        <v>0.29168234851336095</v>
      </c>
      <c r="M7" s="116">
        <f t="shared" si="2"/>
        <v>0.19081671057583741</v>
      </c>
      <c r="N7" s="116">
        <f t="shared" si="2"/>
        <v>0.20812946932630785</v>
      </c>
      <c r="O7" s="118">
        <f t="shared" si="2"/>
        <v>2.9371471584493789</v>
      </c>
      <c r="P7" s="110"/>
    </row>
    <row r="8" spans="2:16" ht="18" customHeight="1">
      <c r="B8" s="765">
        <v>2013</v>
      </c>
      <c r="C8" s="114">
        <v>482</v>
      </c>
      <c r="D8" s="114">
        <v>490</v>
      </c>
      <c r="E8" s="114">
        <v>442</v>
      </c>
      <c r="F8" s="114">
        <v>492</v>
      </c>
      <c r="G8" s="114">
        <v>486</v>
      </c>
      <c r="H8" s="114">
        <v>421</v>
      </c>
      <c r="I8" s="114">
        <v>420</v>
      </c>
      <c r="J8" s="114">
        <v>494</v>
      </c>
      <c r="K8" s="114">
        <v>436</v>
      </c>
      <c r="L8" s="114">
        <v>474</v>
      </c>
      <c r="M8" s="114">
        <v>385</v>
      </c>
      <c r="N8" s="114">
        <v>415</v>
      </c>
      <c r="O8" s="117">
        <f t="shared" si="1"/>
        <v>5437</v>
      </c>
      <c r="P8" s="110"/>
    </row>
    <row r="9" spans="2:16" ht="18" customHeight="1">
      <c r="B9" s="765"/>
      <c r="C9" s="116">
        <f>C8/$N16</f>
        <v>0.18140760255927738</v>
      </c>
      <c r="D9" s="116">
        <f t="shared" ref="D9:O9" si="3">D8/$N16</f>
        <v>0.1844185171245766</v>
      </c>
      <c r="E9" s="116">
        <f t="shared" si="3"/>
        <v>0.16635302973278132</v>
      </c>
      <c r="F9" s="116">
        <f t="shared" si="3"/>
        <v>0.18517124576590138</v>
      </c>
      <c r="G9" s="116">
        <f t="shared" si="3"/>
        <v>0.18291305984192699</v>
      </c>
      <c r="H9" s="116">
        <f t="shared" si="3"/>
        <v>0.1584493789988709</v>
      </c>
      <c r="I9" s="116">
        <f t="shared" si="3"/>
        <v>0.1580730146782085</v>
      </c>
      <c r="J9" s="116">
        <f t="shared" si="3"/>
        <v>0.18592397440722619</v>
      </c>
      <c r="K9" s="116">
        <f t="shared" si="3"/>
        <v>0.16409484380880693</v>
      </c>
      <c r="L9" s="116">
        <f t="shared" si="3"/>
        <v>0.17839668799397818</v>
      </c>
      <c r="M9" s="116">
        <f t="shared" si="3"/>
        <v>0.14490026345502446</v>
      </c>
      <c r="N9" s="116">
        <f t="shared" si="3"/>
        <v>0.15619119307489651</v>
      </c>
      <c r="O9" s="118">
        <f t="shared" si="3"/>
        <v>2.0462928114414756</v>
      </c>
      <c r="P9" s="110"/>
    </row>
    <row r="10" spans="2:16" ht="18" customHeight="1">
      <c r="B10" s="765">
        <v>2014</v>
      </c>
      <c r="C10" s="114">
        <v>422</v>
      </c>
      <c r="D10" s="114">
        <v>446</v>
      </c>
      <c r="E10" s="114">
        <v>474</v>
      </c>
      <c r="F10" s="114">
        <v>394</v>
      </c>
      <c r="G10" s="114">
        <v>407</v>
      </c>
      <c r="H10" s="114">
        <v>368</v>
      </c>
      <c r="I10" s="114">
        <v>501</v>
      </c>
      <c r="J10" s="114">
        <v>518</v>
      </c>
      <c r="K10" s="114">
        <v>506</v>
      </c>
      <c r="L10" s="114">
        <v>460</v>
      </c>
      <c r="M10" s="114">
        <v>405</v>
      </c>
      <c r="N10" s="114">
        <v>464</v>
      </c>
      <c r="O10" s="117">
        <f t="shared" si="1"/>
        <v>5365</v>
      </c>
      <c r="P10" s="110"/>
    </row>
    <row r="11" spans="2:16" ht="18" customHeight="1">
      <c r="B11" s="765"/>
      <c r="C11" s="116">
        <f>C10/$N16</f>
        <v>0.15882574331953331</v>
      </c>
      <c r="D11" s="116">
        <f t="shared" ref="D11:O11" si="4">D10/$N16</f>
        <v>0.16785848701543093</v>
      </c>
      <c r="E11" s="116">
        <f t="shared" si="4"/>
        <v>0.17839668799397818</v>
      </c>
      <c r="F11" s="116">
        <f t="shared" si="4"/>
        <v>0.14828754234098607</v>
      </c>
      <c r="G11" s="116">
        <f t="shared" si="4"/>
        <v>0.15318027850959728</v>
      </c>
      <c r="H11" s="116">
        <f t="shared" si="4"/>
        <v>0.13850207000376363</v>
      </c>
      <c r="I11" s="116">
        <f t="shared" si="4"/>
        <v>0.18855852465186301</v>
      </c>
      <c r="J11" s="116">
        <f t="shared" si="4"/>
        <v>0.19495671810312382</v>
      </c>
      <c r="K11" s="116">
        <f t="shared" si="4"/>
        <v>0.190440346255175</v>
      </c>
      <c r="L11" s="116">
        <f t="shared" si="4"/>
        <v>0.17312758750470456</v>
      </c>
      <c r="M11" s="116">
        <f t="shared" si="4"/>
        <v>0.15242754986827248</v>
      </c>
      <c r="N11" s="116">
        <f t="shared" si="4"/>
        <v>0.17463304478735417</v>
      </c>
      <c r="O11" s="118">
        <f t="shared" si="4"/>
        <v>2.0191945803537825</v>
      </c>
      <c r="P11" s="110"/>
    </row>
    <row r="12" spans="2:16" ht="18" customHeight="1">
      <c r="B12" s="765">
        <v>2015</v>
      </c>
      <c r="C12" s="114">
        <v>338</v>
      </c>
      <c r="D12" s="114">
        <v>404</v>
      </c>
      <c r="E12" s="114">
        <v>384</v>
      </c>
      <c r="F12" s="114">
        <v>347</v>
      </c>
      <c r="G12" s="114">
        <v>419</v>
      </c>
      <c r="H12" s="114">
        <v>352</v>
      </c>
      <c r="I12" s="114">
        <v>339</v>
      </c>
      <c r="J12" s="114">
        <v>346</v>
      </c>
      <c r="K12" s="114">
        <v>352</v>
      </c>
      <c r="L12" s="114">
        <v>409</v>
      </c>
      <c r="M12" s="114">
        <v>356</v>
      </c>
      <c r="N12" s="114">
        <v>340</v>
      </c>
      <c r="O12" s="117">
        <f t="shared" si="1"/>
        <v>4386</v>
      </c>
      <c r="P12" s="110"/>
    </row>
    <row r="13" spans="2:16" ht="18" customHeight="1">
      <c r="B13" s="765"/>
      <c r="C13" s="116">
        <f>C12/$N16</f>
        <v>0.12721114038389161</v>
      </c>
      <c r="D13" s="116">
        <f t="shared" ref="D13:O13" si="5">D12/$N16</f>
        <v>0.15205118554761007</v>
      </c>
      <c r="E13" s="116">
        <f t="shared" si="5"/>
        <v>0.14452389913436206</v>
      </c>
      <c r="F13" s="116">
        <f t="shared" si="5"/>
        <v>0.13059841926985322</v>
      </c>
      <c r="G13" s="116">
        <f t="shared" si="5"/>
        <v>0.1576966503575461</v>
      </c>
      <c r="H13" s="116">
        <f t="shared" si="5"/>
        <v>0.13248024087316523</v>
      </c>
      <c r="I13" s="116">
        <f t="shared" si="5"/>
        <v>0.12758750470455402</v>
      </c>
      <c r="J13" s="116">
        <f t="shared" si="5"/>
        <v>0.13022205494919081</v>
      </c>
      <c r="K13" s="116">
        <f t="shared" si="5"/>
        <v>0.13248024087316523</v>
      </c>
      <c r="L13" s="116">
        <f t="shared" si="5"/>
        <v>0.15393300715092209</v>
      </c>
      <c r="M13" s="116">
        <f t="shared" si="5"/>
        <v>0.13398569815581482</v>
      </c>
      <c r="N13" s="116">
        <f t="shared" si="5"/>
        <v>0.12796386902521642</v>
      </c>
      <c r="O13" s="118">
        <f t="shared" si="5"/>
        <v>1.6507339104252916</v>
      </c>
      <c r="P13" s="110"/>
    </row>
    <row r="14" spans="2:16" ht="18" customHeight="1">
      <c r="B14" s="765">
        <v>2016</v>
      </c>
      <c r="C14" s="114">
        <v>437</v>
      </c>
      <c r="D14" s="114">
        <v>405</v>
      </c>
      <c r="E14" s="114">
        <v>369</v>
      </c>
      <c r="F14" s="764" t="s">
        <v>627</v>
      </c>
      <c r="G14" s="764"/>
      <c r="H14" s="764"/>
      <c r="I14" s="764"/>
      <c r="J14" s="764"/>
      <c r="K14" s="764"/>
      <c r="L14" s="764"/>
      <c r="M14" s="764"/>
      <c r="N14" s="764"/>
      <c r="O14" s="117">
        <f>SUM(C14:N14)</f>
        <v>1211</v>
      </c>
      <c r="P14" s="110"/>
    </row>
    <row r="15" spans="2:16" ht="18" customHeight="1">
      <c r="B15" s="765"/>
      <c r="C15" s="116">
        <f>C14/$N16</f>
        <v>0.16447120812946933</v>
      </c>
      <c r="D15" s="116">
        <f t="shared" ref="D15:O15" si="6">D14/$N16</f>
        <v>0.15242754986827248</v>
      </c>
      <c r="E15" s="116">
        <f t="shared" si="6"/>
        <v>0.13887843432442604</v>
      </c>
      <c r="F15" s="764"/>
      <c r="G15" s="764"/>
      <c r="H15" s="764"/>
      <c r="I15" s="764"/>
      <c r="J15" s="764"/>
      <c r="K15" s="764"/>
      <c r="L15" s="764"/>
      <c r="M15" s="764"/>
      <c r="N15" s="764"/>
      <c r="O15" s="118">
        <f t="shared" si="6"/>
        <v>0.45577719232216785</v>
      </c>
      <c r="P15" s="110"/>
    </row>
    <row r="16" spans="2:16" ht="18" customHeight="1" thickBot="1">
      <c r="B16" s="120" t="s">
        <v>267</v>
      </c>
      <c r="C16" s="111">
        <v>2482</v>
      </c>
      <c r="D16" s="111">
        <v>2574</v>
      </c>
      <c r="E16" s="111">
        <v>2441</v>
      </c>
      <c r="F16" s="111">
        <v>1985</v>
      </c>
      <c r="G16" s="111">
        <v>1942</v>
      </c>
      <c r="H16" s="111">
        <v>1662</v>
      </c>
      <c r="I16" s="111">
        <v>1808</v>
      </c>
      <c r="J16" s="111">
        <v>1896</v>
      </c>
      <c r="K16" s="111">
        <v>1870</v>
      </c>
      <c r="L16" s="111">
        <v>3119</v>
      </c>
      <c r="M16" s="111">
        <v>2540</v>
      </c>
      <c r="N16" s="111">
        <v>2657</v>
      </c>
      <c r="O16" s="112">
        <v>26976</v>
      </c>
      <c r="P16" s="113"/>
    </row>
    <row r="17" spans="2:7" ht="18" customHeight="1"/>
    <row r="18" spans="2:7" ht="18" customHeight="1"/>
    <row r="19" spans="2:7" ht="18" customHeight="1" thickBot="1">
      <c r="B19" s="730" t="s">
        <v>628</v>
      </c>
      <c r="C19" s="730"/>
      <c r="D19" s="730"/>
      <c r="E19" s="730"/>
      <c r="F19" s="730"/>
      <c r="G19" s="730"/>
    </row>
    <row r="20" spans="2:7" ht="18" customHeight="1">
      <c r="B20" s="119"/>
      <c r="C20" s="121" t="s">
        <v>629</v>
      </c>
      <c r="D20" s="121" t="s">
        <v>630</v>
      </c>
      <c r="E20" s="121" t="s">
        <v>631</v>
      </c>
      <c r="F20" s="121" t="s">
        <v>632</v>
      </c>
      <c r="G20" s="122" t="s">
        <v>267</v>
      </c>
    </row>
    <row r="21" spans="2:7" ht="18" customHeight="1">
      <c r="B21" s="765">
        <v>2011</v>
      </c>
      <c r="C21" s="769" t="s">
        <v>627</v>
      </c>
      <c r="D21" s="764"/>
      <c r="E21" s="764"/>
      <c r="F21" s="115">
        <v>2773</v>
      </c>
      <c r="G21" s="117">
        <v>2773</v>
      </c>
    </row>
    <row r="22" spans="2:7" ht="18" customHeight="1">
      <c r="B22" s="765"/>
      <c r="C22" s="769"/>
      <c r="D22" s="764"/>
      <c r="E22" s="764"/>
      <c r="F22" s="116">
        <f>F21/$F33</f>
        <v>0.33345358345358345</v>
      </c>
      <c r="G22" s="118">
        <f>G21/$F33</f>
        <v>0.33345358345358345</v>
      </c>
    </row>
    <row r="23" spans="2:7" ht="18" customHeight="1">
      <c r="B23" s="765">
        <v>2012</v>
      </c>
      <c r="C23" s="115">
        <v>2404</v>
      </c>
      <c r="D23" s="115">
        <v>1903</v>
      </c>
      <c r="E23" s="115">
        <v>1662</v>
      </c>
      <c r="F23" s="115">
        <v>1835</v>
      </c>
      <c r="G23" s="117">
        <v>7804</v>
      </c>
    </row>
    <row r="24" spans="2:7" ht="18" customHeight="1">
      <c r="B24" s="765"/>
      <c r="C24" s="116">
        <f>C23/$F33</f>
        <v>0.28908128908128911</v>
      </c>
      <c r="D24" s="116">
        <f>D23/$F33</f>
        <v>0.22883597883597884</v>
      </c>
      <c r="E24" s="116">
        <f>E23/$F33</f>
        <v>0.19985569985569984</v>
      </c>
      <c r="F24" s="116">
        <f>F23/$F33</f>
        <v>0.22065897065897067</v>
      </c>
      <c r="G24" s="118">
        <f>G23/$F33</f>
        <v>0.93843193843193839</v>
      </c>
    </row>
    <row r="25" spans="2:7" ht="18" customHeight="1">
      <c r="B25" s="765">
        <v>2013</v>
      </c>
      <c r="C25" s="115">
        <v>1414</v>
      </c>
      <c r="D25" s="115">
        <v>1399</v>
      </c>
      <c r="E25" s="115">
        <v>1350</v>
      </c>
      <c r="F25" s="115">
        <v>1274</v>
      </c>
      <c r="G25" s="117">
        <v>5437</v>
      </c>
    </row>
    <row r="26" spans="2:7" ht="18" customHeight="1">
      <c r="B26" s="765"/>
      <c r="C26" s="116">
        <f>C25/$F33</f>
        <v>0.17003367003367004</v>
      </c>
      <c r="D26" s="116">
        <f>D25/$F33</f>
        <v>0.16822991822991823</v>
      </c>
      <c r="E26" s="116">
        <f>E25/$F33</f>
        <v>0.16233766233766234</v>
      </c>
      <c r="F26" s="116">
        <f>F25/$F33</f>
        <v>0.1531986531986532</v>
      </c>
      <c r="G26" s="118">
        <f>G25/$F33</f>
        <v>0.65379990379990383</v>
      </c>
    </row>
    <row r="27" spans="2:7" ht="18" customHeight="1">
      <c r="B27" s="765">
        <v>2014</v>
      </c>
      <c r="C27" s="115">
        <v>1342</v>
      </c>
      <c r="D27" s="115">
        <v>1169</v>
      </c>
      <c r="E27" s="115">
        <v>1525</v>
      </c>
      <c r="F27" s="115">
        <v>1329</v>
      </c>
      <c r="G27" s="117">
        <v>5365</v>
      </c>
    </row>
    <row r="28" spans="2:7" ht="18" customHeight="1">
      <c r="B28" s="765"/>
      <c r="C28" s="116">
        <f>C27/$F33</f>
        <v>0.16137566137566137</v>
      </c>
      <c r="D28" s="116">
        <f>D27/$F33</f>
        <v>0.14057239057239057</v>
      </c>
      <c r="E28" s="116">
        <f>E27/$F33</f>
        <v>0.1833814333814334</v>
      </c>
      <c r="F28" s="116">
        <f>F27/$F33</f>
        <v>0.15981240981240982</v>
      </c>
      <c r="G28" s="118">
        <f>G27/$F33</f>
        <v>0.64514189514189513</v>
      </c>
    </row>
    <row r="29" spans="2:7" ht="18" customHeight="1">
      <c r="B29" s="765">
        <v>2015</v>
      </c>
      <c r="C29" s="115">
        <v>1126</v>
      </c>
      <c r="D29" s="115">
        <v>1118</v>
      </c>
      <c r="E29" s="115">
        <v>1037</v>
      </c>
      <c r="F29" s="115">
        <v>1105</v>
      </c>
      <c r="G29" s="117">
        <v>4386</v>
      </c>
    </row>
    <row r="30" spans="2:7" ht="18" customHeight="1">
      <c r="B30" s="765"/>
      <c r="C30" s="116">
        <f>C29/$F33</f>
        <v>0.13540163540163541</v>
      </c>
      <c r="D30" s="116">
        <f>D29/$F33</f>
        <v>0.13443963443963444</v>
      </c>
      <c r="E30" s="116">
        <f>E29/$F33</f>
        <v>0.1246993746993747</v>
      </c>
      <c r="F30" s="116">
        <f>F29/$F33</f>
        <v>0.13287638287638287</v>
      </c>
      <c r="G30" s="118">
        <f>G29/$F33</f>
        <v>0.52741702741702745</v>
      </c>
    </row>
    <row r="31" spans="2:7" ht="18" customHeight="1">
      <c r="B31" s="765">
        <v>2016</v>
      </c>
      <c r="C31" s="115">
        <v>1211</v>
      </c>
      <c r="D31" s="764" t="s">
        <v>627</v>
      </c>
      <c r="E31" s="764"/>
      <c r="F31" s="764"/>
      <c r="G31" s="117">
        <v>1211</v>
      </c>
    </row>
    <row r="32" spans="2:7" ht="18" customHeight="1">
      <c r="B32" s="765"/>
      <c r="C32" s="116">
        <f>C31/$F33</f>
        <v>0.14562289562289563</v>
      </c>
      <c r="D32" s="764"/>
      <c r="E32" s="764"/>
      <c r="F32" s="764"/>
      <c r="G32" s="118">
        <f>G31/$F33</f>
        <v>0.14562289562289563</v>
      </c>
    </row>
    <row r="33" spans="2:7" ht="18" customHeight="1" thickBot="1">
      <c r="B33" s="120" t="s">
        <v>267</v>
      </c>
      <c r="C33" s="111">
        <v>7497</v>
      </c>
      <c r="D33" s="111">
        <v>5589</v>
      </c>
      <c r="E33" s="111">
        <v>5574</v>
      </c>
      <c r="F33" s="111">
        <v>8316</v>
      </c>
      <c r="G33" s="112">
        <v>26976</v>
      </c>
    </row>
    <row r="34" spans="2:7" ht="18" customHeight="1"/>
    <row r="35" spans="2:7" ht="18" customHeight="1"/>
  </sheetData>
  <mergeCells count="18">
    <mergeCell ref="F14:N15"/>
    <mergeCell ref="C21:E22"/>
    <mergeCell ref="D31:F32"/>
    <mergeCell ref="B29:B30"/>
    <mergeCell ref="B31:B32"/>
    <mergeCell ref="B2:O2"/>
    <mergeCell ref="B19:G19"/>
    <mergeCell ref="B10:B11"/>
    <mergeCell ref="B27:B28"/>
    <mergeCell ref="B12:B13"/>
    <mergeCell ref="B14:B15"/>
    <mergeCell ref="B4:B5"/>
    <mergeCell ref="B21:B22"/>
    <mergeCell ref="B6:B7"/>
    <mergeCell ref="B23:B24"/>
    <mergeCell ref="B8:B9"/>
    <mergeCell ref="B25:B26"/>
    <mergeCell ref="C4:K5"/>
  </mergeCells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2"/>
  <sheetViews>
    <sheetView workbookViewId="0">
      <selection activeCell="R13" sqref="R13"/>
    </sheetView>
  </sheetViews>
  <sheetFormatPr defaultRowHeight="15"/>
  <cols>
    <col min="2" max="2" width="10.140625" customWidth="1"/>
    <col min="4" max="4" width="11" bestFit="1" customWidth="1"/>
  </cols>
  <sheetData>
    <row r="1" spans="1:6">
      <c r="A1" t="s">
        <v>2</v>
      </c>
      <c r="B1" t="s">
        <v>3</v>
      </c>
      <c r="C1" t="s">
        <v>4</v>
      </c>
    </row>
    <row r="2" spans="1:6">
      <c r="A2" s="411">
        <v>40817</v>
      </c>
      <c r="B2" s="412">
        <v>13014</v>
      </c>
      <c r="C2" s="176">
        <v>1001</v>
      </c>
    </row>
    <row r="3" spans="1:6">
      <c r="A3" s="411">
        <v>40848</v>
      </c>
      <c r="B3" s="412">
        <v>12338</v>
      </c>
      <c r="C3">
        <v>887</v>
      </c>
      <c r="D3" s="473">
        <f>(B3-B2)/B2</f>
        <v>-5.1944060242815428E-2</v>
      </c>
      <c r="E3" s="473">
        <f>(C3-C2)/C2</f>
        <v>-0.11388611388611389</v>
      </c>
      <c r="F3" s="176">
        <f>C3-C2</f>
        <v>-114</v>
      </c>
    </row>
    <row r="4" spans="1:6">
      <c r="A4" s="411">
        <v>40878</v>
      </c>
      <c r="B4" s="413">
        <v>11809</v>
      </c>
      <c r="C4">
        <v>885</v>
      </c>
      <c r="D4" s="473">
        <f t="shared" ref="D4:E43" si="0">(B4-B3)/B3</f>
        <v>-4.2875668665910194E-2</v>
      </c>
      <c r="E4" s="473">
        <f t="shared" si="0"/>
        <v>-2.2547914317925591E-3</v>
      </c>
      <c r="F4" s="176">
        <f t="shared" ref="F4:F16" si="1">C4-C3</f>
        <v>-2</v>
      </c>
    </row>
    <row r="5" spans="1:6">
      <c r="A5" s="411">
        <v>40909</v>
      </c>
      <c r="B5" s="412">
        <v>11284</v>
      </c>
      <c r="C5">
        <v>803</v>
      </c>
      <c r="D5" s="473">
        <f t="shared" si="0"/>
        <v>-4.4457617071724957E-2</v>
      </c>
      <c r="E5" s="473">
        <f t="shared" si="0"/>
        <v>-9.2655367231638419E-2</v>
      </c>
      <c r="F5" s="176">
        <f t="shared" si="1"/>
        <v>-82</v>
      </c>
    </row>
    <row r="6" spans="1:6">
      <c r="A6" s="411">
        <v>40940</v>
      </c>
      <c r="B6" s="412">
        <v>10856</v>
      </c>
      <c r="C6">
        <v>829</v>
      </c>
      <c r="D6" s="473">
        <f t="shared" si="0"/>
        <v>-3.792981212336051E-2</v>
      </c>
      <c r="E6" s="473">
        <f t="shared" si="0"/>
        <v>3.2378580323785801E-2</v>
      </c>
      <c r="F6" s="176">
        <f t="shared" si="1"/>
        <v>26</v>
      </c>
    </row>
    <row r="7" spans="1:6">
      <c r="A7" s="411">
        <v>40969</v>
      </c>
      <c r="B7" s="412">
        <v>10325</v>
      </c>
      <c r="C7">
        <v>772</v>
      </c>
      <c r="D7" s="473">
        <f t="shared" si="0"/>
        <v>-4.8913043478260872E-2</v>
      </c>
      <c r="E7" s="473">
        <f t="shared" si="0"/>
        <v>-6.8757539203860074E-2</v>
      </c>
      <c r="F7" s="176">
        <f t="shared" si="1"/>
        <v>-57</v>
      </c>
    </row>
    <row r="8" spans="1:6">
      <c r="A8" s="411">
        <v>41000</v>
      </c>
      <c r="B8" s="412">
        <v>9940</v>
      </c>
      <c r="C8">
        <v>752</v>
      </c>
      <c r="D8" s="473">
        <f t="shared" si="0"/>
        <v>-3.7288135593220341E-2</v>
      </c>
      <c r="E8" s="473">
        <f t="shared" si="0"/>
        <v>-2.5906735751295335E-2</v>
      </c>
      <c r="F8" s="176">
        <f t="shared" si="1"/>
        <v>-20</v>
      </c>
    </row>
    <row r="9" spans="1:6">
      <c r="A9" s="411">
        <v>41030</v>
      </c>
      <c r="B9" s="412">
        <v>9531</v>
      </c>
      <c r="C9">
        <v>630</v>
      </c>
      <c r="D9" s="473">
        <f t="shared" si="0"/>
        <v>-4.114688128772636E-2</v>
      </c>
      <c r="E9" s="473">
        <f t="shared" si="0"/>
        <v>-0.16223404255319149</v>
      </c>
      <c r="F9" s="176">
        <f t="shared" si="1"/>
        <v>-122</v>
      </c>
    </row>
    <row r="10" spans="1:6">
      <c r="A10" s="411">
        <v>41061</v>
      </c>
      <c r="B10" s="412">
        <v>9323</v>
      </c>
      <c r="C10">
        <v>521</v>
      </c>
      <c r="D10" s="473">
        <f t="shared" si="0"/>
        <v>-2.1823523239953836E-2</v>
      </c>
      <c r="E10" s="473">
        <f t="shared" si="0"/>
        <v>-0.17301587301587301</v>
      </c>
      <c r="F10" s="176">
        <f t="shared" si="1"/>
        <v>-109</v>
      </c>
    </row>
    <row r="11" spans="1:6">
      <c r="A11" s="411">
        <v>41091</v>
      </c>
      <c r="B11" s="412">
        <v>9265</v>
      </c>
      <c r="C11">
        <v>548</v>
      </c>
      <c r="D11" s="473">
        <f t="shared" si="0"/>
        <v>-6.2211734420250988E-3</v>
      </c>
      <c r="E11" s="473">
        <f t="shared" si="0"/>
        <v>5.1823416506717852E-2</v>
      </c>
      <c r="F11" s="176">
        <f t="shared" si="1"/>
        <v>27</v>
      </c>
    </row>
    <row r="12" spans="1:6">
      <c r="A12" s="411">
        <v>41122</v>
      </c>
      <c r="B12" s="412">
        <v>9246</v>
      </c>
      <c r="C12">
        <v>538</v>
      </c>
      <c r="D12" s="473">
        <f t="shared" si="0"/>
        <v>-2.0507285483000542E-3</v>
      </c>
      <c r="E12" s="473">
        <f t="shared" si="0"/>
        <v>-1.824817518248175E-2</v>
      </c>
      <c r="F12" s="176">
        <f t="shared" si="1"/>
        <v>-10</v>
      </c>
    </row>
    <row r="13" spans="1:6">
      <c r="A13" s="411">
        <v>41153</v>
      </c>
      <c r="B13" s="412">
        <v>9140</v>
      </c>
      <c r="C13">
        <v>576</v>
      </c>
      <c r="D13" s="473">
        <f t="shared" si="0"/>
        <v>-1.1464417045208739E-2</v>
      </c>
      <c r="E13" s="473">
        <f t="shared" si="0"/>
        <v>7.0631970260223054E-2</v>
      </c>
      <c r="F13" s="176">
        <f t="shared" si="1"/>
        <v>38</v>
      </c>
    </row>
    <row r="14" spans="1:6">
      <c r="A14" s="411">
        <v>41183</v>
      </c>
      <c r="B14" s="412">
        <v>9076</v>
      </c>
      <c r="C14">
        <v>775</v>
      </c>
      <c r="D14" s="473">
        <f t="shared" si="0"/>
        <v>-7.0021881838074401E-3</v>
      </c>
      <c r="E14" s="473">
        <f t="shared" si="0"/>
        <v>0.3454861111111111</v>
      </c>
      <c r="F14" s="176">
        <f t="shared" si="1"/>
        <v>199</v>
      </c>
    </row>
    <row r="15" spans="1:6">
      <c r="A15" s="411">
        <v>41214</v>
      </c>
      <c r="B15" s="412">
        <v>8643</v>
      </c>
      <c r="C15">
        <v>507</v>
      </c>
      <c r="D15" s="473">
        <f t="shared" si="0"/>
        <v>-4.770824151608638E-2</v>
      </c>
      <c r="E15" s="473">
        <f t="shared" si="0"/>
        <v>-0.34580645161290324</v>
      </c>
      <c r="F15" s="176">
        <f t="shared" si="1"/>
        <v>-268</v>
      </c>
    </row>
    <row r="16" spans="1:6">
      <c r="A16" s="411">
        <v>41244</v>
      </c>
      <c r="B16" s="414">
        <v>8449</v>
      </c>
      <c r="C16">
        <v>553</v>
      </c>
      <c r="D16" s="473">
        <f t="shared" si="0"/>
        <v>-2.2445909984958927E-2</v>
      </c>
      <c r="E16" s="473">
        <f t="shared" si="0"/>
        <v>9.0729783037475351E-2</v>
      </c>
      <c r="F16" s="176">
        <f t="shared" si="1"/>
        <v>46</v>
      </c>
    </row>
    <row r="17" spans="1:7">
      <c r="A17" s="411">
        <v>41275</v>
      </c>
      <c r="B17" s="412">
        <v>8252</v>
      </c>
      <c r="C17">
        <v>482</v>
      </c>
      <c r="D17" s="473">
        <f t="shared" si="0"/>
        <v>-2.3316368801041543E-2</v>
      </c>
      <c r="E17" s="473">
        <f t="shared" si="0"/>
        <v>-0.12839059674502712</v>
      </c>
    </row>
    <row r="18" spans="1:7">
      <c r="A18" s="411">
        <v>41306</v>
      </c>
      <c r="B18" s="412">
        <v>8011</v>
      </c>
      <c r="C18">
        <v>490</v>
      </c>
      <c r="D18" s="473">
        <f t="shared" si="0"/>
        <v>-2.9205041202132815E-2</v>
      </c>
      <c r="E18" s="473">
        <f t="shared" si="0"/>
        <v>1.6597510373443983E-2</v>
      </c>
    </row>
    <row r="19" spans="1:7">
      <c r="A19" s="411">
        <v>41334</v>
      </c>
      <c r="B19" s="412">
        <v>7747</v>
      </c>
      <c r="C19">
        <v>442</v>
      </c>
      <c r="D19" s="473">
        <f t="shared" si="0"/>
        <v>-3.2954687304955689E-2</v>
      </c>
      <c r="E19" s="473">
        <f t="shared" si="0"/>
        <v>-9.7959183673469383E-2</v>
      </c>
      <c r="F19" s="473">
        <f>(B13-B2)/B2</f>
        <v>-0.29767942216074994</v>
      </c>
      <c r="G19" s="181">
        <f>AVERAGE(F19:F21)</f>
        <v>-0.21239690023391666</v>
      </c>
    </row>
    <row r="20" spans="1:7">
      <c r="A20" s="411">
        <v>41365</v>
      </c>
      <c r="B20" s="412">
        <v>7732</v>
      </c>
      <c r="C20">
        <v>492</v>
      </c>
      <c r="D20" s="473">
        <f t="shared" si="0"/>
        <v>-1.9362333806634826E-3</v>
      </c>
      <c r="E20" s="473">
        <f t="shared" si="0"/>
        <v>0.11312217194570136</v>
      </c>
      <c r="F20" s="473">
        <f>(B25-B14)/B14</f>
        <v>-0.20196121639488762</v>
      </c>
    </row>
    <row r="21" spans="1:7">
      <c r="A21" s="411">
        <v>41395</v>
      </c>
      <c r="B21" s="412">
        <v>7489</v>
      </c>
      <c r="C21">
        <v>486</v>
      </c>
      <c r="D21" s="473">
        <f t="shared" si="0"/>
        <v>-3.1427832384893946E-2</v>
      </c>
      <c r="E21" s="473">
        <f t="shared" si="0"/>
        <v>-1.2195121951219513E-2</v>
      </c>
      <c r="F21" s="473">
        <f>(B37-B26)/B26</f>
        <v>-0.13755006214611243</v>
      </c>
    </row>
    <row r="22" spans="1:7">
      <c r="A22" s="411">
        <v>41426</v>
      </c>
      <c r="B22" s="412">
        <v>7256</v>
      </c>
      <c r="C22">
        <v>421</v>
      </c>
      <c r="D22" s="473">
        <f t="shared" si="0"/>
        <v>-3.1112298037121112E-2</v>
      </c>
      <c r="E22" s="473">
        <f t="shared" si="0"/>
        <v>-0.13374485596707819</v>
      </c>
      <c r="F22" s="473">
        <f>(B43-B38)/B38</f>
        <v>-7.0456754130223523E-2</v>
      </c>
    </row>
    <row r="23" spans="1:7">
      <c r="A23" s="411">
        <v>41456</v>
      </c>
      <c r="B23" s="412">
        <v>7265</v>
      </c>
      <c r="C23">
        <v>420</v>
      </c>
      <c r="D23" s="473">
        <f t="shared" si="0"/>
        <v>1.2403528114663727E-3</v>
      </c>
      <c r="E23" s="473">
        <f t="shared" si="0"/>
        <v>-2.3752969121140144E-3</v>
      </c>
    </row>
    <row r="24" spans="1:7">
      <c r="A24" s="411">
        <v>41487</v>
      </c>
      <c r="B24" s="412">
        <v>7341</v>
      </c>
      <c r="C24">
        <v>494</v>
      </c>
      <c r="D24" s="473">
        <f t="shared" si="0"/>
        <v>1.0461114934618031E-2</v>
      </c>
      <c r="E24" s="473">
        <f t="shared" si="0"/>
        <v>0.1761904761904762</v>
      </c>
    </row>
    <row r="25" spans="1:7">
      <c r="A25" s="411">
        <v>41518</v>
      </c>
      <c r="B25" s="412">
        <v>7243</v>
      </c>
      <c r="C25">
        <v>436</v>
      </c>
      <c r="D25" s="473">
        <f t="shared" si="0"/>
        <v>-1.3349679880125323E-2</v>
      </c>
      <c r="E25" s="473">
        <f t="shared" si="0"/>
        <v>-0.11740890688259109</v>
      </c>
    </row>
    <row r="26" spans="1:7">
      <c r="A26" s="411">
        <v>41548</v>
      </c>
      <c r="B26" s="412">
        <v>7241</v>
      </c>
      <c r="C26">
        <v>474</v>
      </c>
      <c r="D26" s="473">
        <f t="shared" si="0"/>
        <v>-2.7612867596299873E-4</v>
      </c>
      <c r="E26" s="473">
        <f t="shared" si="0"/>
        <v>8.7155963302752298E-2</v>
      </c>
    </row>
    <row r="27" spans="1:7">
      <c r="A27" s="411">
        <v>41579</v>
      </c>
      <c r="B27" s="412">
        <v>7001</v>
      </c>
      <c r="C27">
        <v>385</v>
      </c>
      <c r="D27" s="473">
        <f t="shared" si="0"/>
        <v>-3.3144593288219858E-2</v>
      </c>
      <c r="E27" s="473">
        <f t="shared" si="0"/>
        <v>-0.18776371308016879</v>
      </c>
    </row>
    <row r="28" spans="1:7">
      <c r="A28" s="411">
        <v>41609</v>
      </c>
      <c r="B28" s="414">
        <v>6965</v>
      </c>
      <c r="C28">
        <v>415</v>
      </c>
      <c r="D28" s="473">
        <f t="shared" si="0"/>
        <v>-5.1421225539208682E-3</v>
      </c>
      <c r="E28" s="473">
        <f t="shared" si="0"/>
        <v>7.792207792207792E-2</v>
      </c>
    </row>
    <row r="29" spans="1:7">
      <c r="A29" s="411">
        <v>41640</v>
      </c>
      <c r="B29" s="412">
        <v>6803</v>
      </c>
      <c r="C29">
        <v>422</v>
      </c>
      <c r="D29" s="473">
        <f t="shared" si="0"/>
        <v>-2.3259152907394113E-2</v>
      </c>
      <c r="E29" s="473">
        <f t="shared" si="0"/>
        <v>1.6867469879518072E-2</v>
      </c>
    </row>
    <row r="30" spans="1:7">
      <c r="A30" s="411">
        <v>41671</v>
      </c>
      <c r="B30" s="412">
        <v>6643</v>
      </c>
      <c r="C30">
        <v>446</v>
      </c>
      <c r="D30" s="473">
        <f t="shared" si="0"/>
        <v>-2.3519035719535498E-2</v>
      </c>
      <c r="E30" s="473">
        <f t="shared" si="0"/>
        <v>5.6872037914691941E-2</v>
      </c>
    </row>
    <row r="31" spans="1:7">
      <c r="A31" s="411">
        <v>41699</v>
      </c>
      <c r="B31" s="412">
        <v>6548</v>
      </c>
      <c r="C31">
        <v>474</v>
      </c>
      <c r="D31" s="473">
        <f t="shared" si="0"/>
        <v>-1.430076772542526E-2</v>
      </c>
      <c r="E31" s="473">
        <f t="shared" si="0"/>
        <v>6.2780269058295965E-2</v>
      </c>
    </row>
    <row r="32" spans="1:7">
      <c r="A32" s="411">
        <v>41730</v>
      </c>
      <c r="B32" s="412">
        <v>6333</v>
      </c>
      <c r="C32">
        <v>394</v>
      </c>
      <c r="D32" s="473">
        <f t="shared" si="0"/>
        <v>-3.283445326817349E-2</v>
      </c>
      <c r="E32" s="473">
        <f t="shared" si="0"/>
        <v>-0.16877637130801687</v>
      </c>
    </row>
    <row r="33" spans="1:6">
      <c r="A33" s="411">
        <v>41760</v>
      </c>
      <c r="B33" s="415">
        <v>6274</v>
      </c>
      <c r="C33">
        <v>407</v>
      </c>
      <c r="D33" s="473">
        <f t="shared" si="0"/>
        <v>-9.3162798042002205E-3</v>
      </c>
      <c r="E33" s="473">
        <f t="shared" si="0"/>
        <v>3.2994923857868022E-2</v>
      </c>
    </row>
    <row r="34" spans="1:6">
      <c r="A34" s="411">
        <v>41791</v>
      </c>
      <c r="B34" s="415">
        <v>6190</v>
      </c>
      <c r="C34">
        <v>368</v>
      </c>
      <c r="D34" s="473">
        <f t="shared" si="0"/>
        <v>-1.33885878227606E-2</v>
      </c>
      <c r="E34" s="473">
        <f t="shared" si="0"/>
        <v>-9.5823095823095825E-2</v>
      </c>
    </row>
    <row r="35" spans="1:6">
      <c r="A35" s="411">
        <v>41821</v>
      </c>
      <c r="B35" s="415">
        <v>6331</v>
      </c>
      <c r="C35">
        <v>501</v>
      </c>
      <c r="D35" s="473">
        <f t="shared" si="0"/>
        <v>2.2778675282714055E-2</v>
      </c>
      <c r="E35" s="473">
        <f t="shared" si="0"/>
        <v>0.36141304347826086</v>
      </c>
    </row>
    <row r="36" spans="1:6">
      <c r="A36" s="411">
        <v>41852</v>
      </c>
      <c r="B36" s="415">
        <v>6325</v>
      </c>
      <c r="C36">
        <v>518</v>
      </c>
      <c r="D36" s="473">
        <f t="shared" si="0"/>
        <v>-9.4771758016111202E-4</v>
      </c>
      <c r="E36" s="473">
        <f t="shared" si="0"/>
        <v>3.3932135728542916E-2</v>
      </c>
    </row>
    <row r="37" spans="1:6">
      <c r="A37" s="411">
        <v>41883</v>
      </c>
      <c r="B37" s="415">
        <v>6245</v>
      </c>
      <c r="C37">
        <v>506</v>
      </c>
      <c r="D37" s="473">
        <f t="shared" si="0"/>
        <v>-1.2648221343873518E-2</v>
      </c>
      <c r="E37" s="473">
        <f t="shared" si="0"/>
        <v>-2.3166023166023165E-2</v>
      </c>
    </row>
    <row r="38" spans="1:6">
      <c r="A38" s="411">
        <v>41913</v>
      </c>
      <c r="B38" s="415">
        <v>6174</v>
      </c>
      <c r="C38">
        <v>460</v>
      </c>
      <c r="D38" s="473">
        <f t="shared" si="0"/>
        <v>-1.1369095276220978E-2</v>
      </c>
      <c r="E38" s="473">
        <f t="shared" si="0"/>
        <v>-9.0909090909090912E-2</v>
      </c>
    </row>
    <row r="39" spans="1:6">
      <c r="A39" s="411">
        <v>41944</v>
      </c>
      <c r="B39" s="415">
        <v>5987</v>
      </c>
      <c r="C39">
        <v>405</v>
      </c>
      <c r="D39" s="473">
        <f t="shared" si="0"/>
        <v>-3.0288305798509881E-2</v>
      </c>
      <c r="E39" s="473">
        <f t="shared" si="0"/>
        <v>-0.11956521739130435</v>
      </c>
    </row>
    <row r="40" spans="1:6">
      <c r="A40" s="411">
        <v>41974</v>
      </c>
      <c r="B40" s="416">
        <v>5978</v>
      </c>
      <c r="C40">
        <v>464</v>
      </c>
      <c r="D40" s="473">
        <f t="shared" si="0"/>
        <v>-1.5032570569567397E-3</v>
      </c>
      <c r="E40" s="473">
        <f t="shared" si="0"/>
        <v>0.14567901234567901</v>
      </c>
    </row>
    <row r="41" spans="1:6">
      <c r="A41" s="411">
        <v>42005</v>
      </c>
      <c r="B41" s="415">
        <v>5814</v>
      </c>
      <c r="C41">
        <v>338</v>
      </c>
      <c r="D41" s="473">
        <f t="shared" si="0"/>
        <v>-2.7433924389427902E-2</v>
      </c>
      <c r="E41" s="473">
        <f t="shared" si="0"/>
        <v>-0.27155172413793105</v>
      </c>
    </row>
    <row r="42" spans="1:6">
      <c r="A42" s="411">
        <v>42036</v>
      </c>
      <c r="B42" s="415">
        <v>5835</v>
      </c>
      <c r="C42">
        <v>404</v>
      </c>
      <c r="D42" s="473">
        <f t="shared" si="0"/>
        <v>3.6119711042311661E-3</v>
      </c>
      <c r="E42" s="473">
        <f t="shared" si="0"/>
        <v>0.19526627218934911</v>
      </c>
    </row>
    <row r="43" spans="1:6">
      <c r="A43" s="411">
        <v>42064</v>
      </c>
      <c r="B43" s="415">
        <v>5739</v>
      </c>
      <c r="C43">
        <v>384</v>
      </c>
      <c r="D43" s="473">
        <f t="shared" si="0"/>
        <v>-1.6452442159383032E-2</v>
      </c>
      <c r="E43" s="473">
        <f t="shared" si="0"/>
        <v>-4.9504950495049507E-2</v>
      </c>
      <c r="F43">
        <f>C25-C43</f>
        <v>52</v>
      </c>
    </row>
    <row r="44" spans="1:6">
      <c r="A44" s="411"/>
      <c r="D44" s="176"/>
    </row>
    <row r="45" spans="1:6">
      <c r="A45" t="s">
        <v>5</v>
      </c>
      <c r="B45" s="473">
        <f>(B43-B2)/B2</f>
        <v>-0.55901337021668973</v>
      </c>
      <c r="C45" s="473">
        <f>(C43-C2)/C2</f>
        <v>-0.61638361638361638</v>
      </c>
      <c r="D45" s="181"/>
      <c r="E45" s="181"/>
    </row>
    <row r="46" spans="1:6">
      <c r="A46" t="s">
        <v>6</v>
      </c>
      <c r="B46" s="108">
        <f>AVERAGE(B2:B43)</f>
        <v>7976.2142857142853</v>
      </c>
      <c r="C46" s="108">
        <f t="shared" ref="C46:E46" si="2">AVERAGE(C2:C43)</f>
        <v>535.83333333333337</v>
      </c>
      <c r="D46" s="473">
        <f t="shared" si="2"/>
        <v>-1.9617207625643653E-2</v>
      </c>
      <c r="E46" s="473">
        <f t="shared" si="2"/>
        <v>-1.3025756411838013E-2</v>
      </c>
    </row>
    <row r="48" spans="1:6">
      <c r="B48" s="176"/>
      <c r="C48" s="176"/>
    </row>
    <row r="50" spans="2:5">
      <c r="B50" s="176"/>
      <c r="C50" s="473"/>
      <c r="D50" s="181"/>
      <c r="E50" s="181"/>
    </row>
    <row r="51" spans="2:5">
      <c r="B51" s="176"/>
      <c r="C51" s="473"/>
      <c r="D51" s="181"/>
    </row>
    <row r="52" spans="2:5">
      <c r="B52" s="176"/>
      <c r="C52" s="473"/>
      <c r="D52" s="181"/>
    </row>
  </sheetData>
  <phoneticPr fontId="3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AA8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J12" sqref="J12"/>
    </sheetView>
  </sheetViews>
  <sheetFormatPr defaultRowHeight="15"/>
  <cols>
    <col min="1" max="5" width="9.140625" style="83"/>
    <col min="16" max="16" width="17.85546875" customWidth="1"/>
    <col min="17" max="17" width="16.85546875" customWidth="1"/>
  </cols>
  <sheetData>
    <row r="1" spans="1:18" s="8" customFormat="1" ht="38.25">
      <c r="A1" s="52" t="s">
        <v>7</v>
      </c>
      <c r="B1" s="52" t="s">
        <v>8</v>
      </c>
      <c r="C1" s="52" t="s">
        <v>9</v>
      </c>
      <c r="D1" s="52" t="s">
        <v>10</v>
      </c>
      <c r="E1" s="52" t="s">
        <v>11</v>
      </c>
      <c r="F1" s="126" t="s">
        <v>12</v>
      </c>
      <c r="G1" s="127" t="s">
        <v>13</v>
      </c>
      <c r="H1" s="127" t="s">
        <v>14</v>
      </c>
      <c r="I1" s="127" t="s">
        <v>15</v>
      </c>
      <c r="J1" s="127" t="s">
        <v>16</v>
      </c>
      <c r="K1" s="128" t="s">
        <v>17</v>
      </c>
      <c r="L1" s="127" t="s">
        <v>18</v>
      </c>
      <c r="M1" s="127" t="s">
        <v>19</v>
      </c>
      <c r="N1" s="127" t="s">
        <v>20</v>
      </c>
      <c r="O1" s="127" t="s">
        <v>21</v>
      </c>
      <c r="P1" s="129" t="s">
        <v>22</v>
      </c>
      <c r="Q1" s="130" t="s">
        <v>23</v>
      </c>
      <c r="R1" s="131"/>
    </row>
    <row r="2" spans="1:18" s="18" customFormat="1" ht="30" customHeight="1">
      <c r="A2" s="50" t="s">
        <v>24</v>
      </c>
      <c r="B2" s="51" t="s">
        <v>25</v>
      </c>
      <c r="C2" s="52" t="s">
        <v>26</v>
      </c>
      <c r="D2" s="52" t="s">
        <v>24</v>
      </c>
      <c r="E2" s="53" t="s">
        <v>27</v>
      </c>
      <c r="F2" s="21">
        <v>22505</v>
      </c>
      <c r="G2" s="54">
        <v>1477.5309999999999</v>
      </c>
      <c r="H2" s="54">
        <v>1340.357</v>
      </c>
      <c r="I2" s="54">
        <v>1317.9280000000001</v>
      </c>
      <c r="J2" s="54">
        <v>1416.8610000000001</v>
      </c>
      <c r="K2" s="54">
        <v>1660.489</v>
      </c>
      <c r="L2" s="54">
        <v>1940.7180000000001</v>
      </c>
      <c r="M2" s="54">
        <v>2041.0050000000001</v>
      </c>
      <c r="N2" s="54">
        <v>2143.819</v>
      </c>
      <c r="O2" s="54">
        <v>2191.1880000000001</v>
      </c>
      <c r="P2" s="54">
        <v>5055.12</v>
      </c>
      <c r="Q2" s="54">
        <v>7710.7030000000004</v>
      </c>
      <c r="R2" s="47">
        <f t="shared" ref="R2:R65" si="0">Q2-P2</f>
        <v>2655.5830000000005</v>
      </c>
    </row>
    <row r="3" spans="1:18" s="18" customFormat="1" ht="30" customHeight="1">
      <c r="A3" s="50" t="s">
        <v>24</v>
      </c>
      <c r="B3" s="51" t="s">
        <v>25</v>
      </c>
      <c r="C3" s="52" t="s">
        <v>26</v>
      </c>
      <c r="D3" s="52" t="s">
        <v>24</v>
      </c>
      <c r="E3" s="79" t="s">
        <v>28</v>
      </c>
      <c r="F3" s="43">
        <v>22505</v>
      </c>
      <c r="G3" s="44">
        <v>0</v>
      </c>
      <c r="H3" s="44">
        <v>0</v>
      </c>
      <c r="I3" s="44">
        <v>0</v>
      </c>
      <c r="J3" s="44">
        <v>93.74</v>
      </c>
      <c r="K3" s="45">
        <v>353.92</v>
      </c>
      <c r="L3" s="44">
        <v>406.99</v>
      </c>
      <c r="M3" s="44">
        <v>467.01</v>
      </c>
      <c r="N3" s="44">
        <v>513.04</v>
      </c>
      <c r="O3" s="44">
        <v>498.43</v>
      </c>
      <c r="P3" s="46">
        <v>2105.2600000000002</v>
      </c>
      <c r="Q3" s="46">
        <v>3605.54</v>
      </c>
      <c r="R3" s="47">
        <f t="shared" si="0"/>
        <v>1500.2799999999997</v>
      </c>
    </row>
    <row r="4" spans="1:18" s="18" customFormat="1" ht="30" customHeight="1">
      <c r="A4" s="50" t="s">
        <v>24</v>
      </c>
      <c r="B4" s="59" t="s">
        <v>29</v>
      </c>
      <c r="C4" s="60" t="s">
        <v>26</v>
      </c>
      <c r="D4" s="60" t="s">
        <v>24</v>
      </c>
      <c r="E4" s="61" t="s">
        <v>27</v>
      </c>
      <c r="F4" s="57">
        <v>5149</v>
      </c>
      <c r="G4" s="54">
        <v>1767.5360000000001</v>
      </c>
      <c r="H4" s="54">
        <v>1635.5440000000001</v>
      </c>
      <c r="I4" s="54">
        <v>1520.722</v>
      </c>
      <c r="J4" s="54">
        <v>1558.181</v>
      </c>
      <c r="K4" s="54">
        <v>1819.7660000000001</v>
      </c>
      <c r="L4" s="54">
        <v>2226.366</v>
      </c>
      <c r="M4" s="54">
        <v>2288.9670000000001</v>
      </c>
      <c r="N4" s="54">
        <v>2384.4430000000002</v>
      </c>
      <c r="O4" s="54">
        <v>2413.21</v>
      </c>
      <c r="P4" s="54">
        <v>6481.9830000000002</v>
      </c>
      <c r="Q4" s="54">
        <v>9312.9869999999992</v>
      </c>
      <c r="R4" s="47">
        <f t="shared" si="0"/>
        <v>2831.003999999999</v>
      </c>
    </row>
    <row r="5" spans="1:18" s="18" customFormat="1" ht="30" customHeight="1">
      <c r="A5" s="50" t="s">
        <v>24</v>
      </c>
      <c r="B5" s="59" t="s">
        <v>29</v>
      </c>
      <c r="C5" s="60" t="s">
        <v>26</v>
      </c>
      <c r="D5" s="60" t="s">
        <v>24</v>
      </c>
      <c r="E5" s="65" t="s">
        <v>28</v>
      </c>
      <c r="F5" s="57">
        <v>5149</v>
      </c>
      <c r="G5" s="54">
        <v>148.99</v>
      </c>
      <c r="H5" s="54">
        <v>106.36</v>
      </c>
      <c r="I5" s="54">
        <v>205.2</v>
      </c>
      <c r="J5" s="54">
        <v>302.25</v>
      </c>
      <c r="K5" s="54">
        <v>622.51</v>
      </c>
      <c r="L5" s="54">
        <v>900</v>
      </c>
      <c r="M5" s="54">
        <v>878.12</v>
      </c>
      <c r="N5" s="54">
        <v>846.75</v>
      </c>
      <c r="O5" s="54">
        <v>854.45</v>
      </c>
      <c r="P5" s="54">
        <v>3615.53</v>
      </c>
      <c r="Q5" s="54">
        <v>5500</v>
      </c>
      <c r="R5" s="47">
        <f t="shared" si="0"/>
        <v>1884.4699999999998</v>
      </c>
    </row>
    <row r="6" spans="1:18" s="18" customFormat="1" ht="30" customHeight="1">
      <c r="A6" s="50" t="s">
        <v>24</v>
      </c>
      <c r="B6" s="81" t="s">
        <v>30</v>
      </c>
      <c r="C6" s="60" t="s">
        <v>26</v>
      </c>
      <c r="D6" s="60" t="s">
        <v>24</v>
      </c>
      <c r="E6" s="61" t="s">
        <v>27</v>
      </c>
      <c r="F6" s="57">
        <v>5365</v>
      </c>
      <c r="G6" s="54">
        <v>1589.721</v>
      </c>
      <c r="H6" s="54">
        <v>1436.327</v>
      </c>
      <c r="I6" s="54">
        <v>1361.3309999999999</v>
      </c>
      <c r="J6" s="54">
        <v>1382.777</v>
      </c>
      <c r="K6" s="54">
        <v>1614.894</v>
      </c>
      <c r="L6" s="54">
        <v>1985.5</v>
      </c>
      <c r="M6" s="54">
        <v>2136.826</v>
      </c>
      <c r="N6" s="54">
        <v>2239.5059999999999</v>
      </c>
      <c r="O6" s="54">
        <v>2302.1280000000002</v>
      </c>
      <c r="P6" s="54">
        <v>5770.1559999999999</v>
      </c>
      <c r="Q6" s="54">
        <v>8663.9599999999991</v>
      </c>
      <c r="R6" s="47">
        <f t="shared" si="0"/>
        <v>2893.8039999999992</v>
      </c>
    </row>
    <row r="7" spans="1:18" s="18" customFormat="1" ht="30" customHeight="1">
      <c r="A7" s="50" t="s">
        <v>24</v>
      </c>
      <c r="B7" s="81" t="s">
        <v>30</v>
      </c>
      <c r="C7" s="60" t="s">
        <v>26</v>
      </c>
      <c r="D7" s="60" t="s">
        <v>24</v>
      </c>
      <c r="E7" s="65" t="s">
        <v>28</v>
      </c>
      <c r="F7" s="57">
        <v>5365</v>
      </c>
      <c r="G7" s="54">
        <v>0</v>
      </c>
      <c r="H7" s="54">
        <v>0</v>
      </c>
      <c r="I7" s="54">
        <v>0</v>
      </c>
      <c r="J7" s="54">
        <v>43.99</v>
      </c>
      <c r="K7" s="54">
        <v>296.25</v>
      </c>
      <c r="L7" s="54">
        <v>398.28</v>
      </c>
      <c r="M7" s="54">
        <v>552.9</v>
      </c>
      <c r="N7" s="54">
        <v>643.65</v>
      </c>
      <c r="O7" s="54">
        <v>721.5</v>
      </c>
      <c r="P7" s="54">
        <v>2678.65</v>
      </c>
      <c r="Q7" s="54">
        <v>4613.46</v>
      </c>
      <c r="R7" s="47">
        <f t="shared" si="0"/>
        <v>1934.81</v>
      </c>
    </row>
    <row r="8" spans="1:18" s="18" customFormat="1" ht="30" customHeight="1">
      <c r="A8" s="50" t="s">
        <v>24</v>
      </c>
      <c r="B8" s="82" t="s">
        <v>31</v>
      </c>
      <c r="C8" s="60" t="s">
        <v>26</v>
      </c>
      <c r="D8" s="60" t="s">
        <v>24</v>
      </c>
      <c r="E8" s="61" t="s">
        <v>27</v>
      </c>
      <c r="F8" s="57">
        <v>6814</v>
      </c>
      <c r="G8" s="54">
        <v>1286.0329999999999</v>
      </c>
      <c r="H8" s="54">
        <v>1173.5350000000001</v>
      </c>
      <c r="I8" s="54">
        <v>1221.0250000000001</v>
      </c>
      <c r="J8" s="54">
        <v>1376.6479999999999</v>
      </c>
      <c r="K8" s="54">
        <v>1623.4770000000001</v>
      </c>
      <c r="L8" s="54">
        <v>1825.55</v>
      </c>
      <c r="M8" s="54">
        <v>1881.2070000000001</v>
      </c>
      <c r="N8" s="54">
        <v>1983.421</v>
      </c>
      <c r="O8" s="54">
        <v>2060.7730000000001</v>
      </c>
      <c r="P8" s="54">
        <v>5057.241</v>
      </c>
      <c r="Q8" s="54">
        <v>7750.951</v>
      </c>
      <c r="R8" s="47">
        <f t="shared" si="0"/>
        <v>2693.71</v>
      </c>
    </row>
    <row r="9" spans="1:18" s="55" customFormat="1" ht="30" customHeight="1">
      <c r="A9" s="50" t="s">
        <v>24</v>
      </c>
      <c r="B9" s="82" t="s">
        <v>31</v>
      </c>
      <c r="C9" s="60" t="s">
        <v>26</v>
      </c>
      <c r="D9" s="60" t="s">
        <v>24</v>
      </c>
      <c r="E9" s="65" t="s">
        <v>28</v>
      </c>
      <c r="F9" s="57">
        <v>6814</v>
      </c>
      <c r="G9" s="54">
        <v>0</v>
      </c>
      <c r="H9" s="54">
        <v>0</v>
      </c>
      <c r="I9" s="54">
        <v>0</v>
      </c>
      <c r="J9" s="54">
        <v>69.015000000000001</v>
      </c>
      <c r="K9" s="54">
        <v>276.73</v>
      </c>
      <c r="L9" s="54">
        <v>242.27500000000001</v>
      </c>
      <c r="M9" s="54">
        <v>263.22000000000003</v>
      </c>
      <c r="N9" s="54">
        <v>284.935</v>
      </c>
      <c r="O9" s="54">
        <v>267.24</v>
      </c>
      <c r="P9" s="54">
        <v>2178.4549999999999</v>
      </c>
      <c r="Q9" s="54">
        <v>3557.22</v>
      </c>
      <c r="R9" s="47">
        <f t="shared" si="0"/>
        <v>1378.7649999999999</v>
      </c>
    </row>
    <row r="10" spans="1:18" s="18" customFormat="1" ht="30" customHeight="1">
      <c r="A10" s="50" t="s">
        <v>24</v>
      </c>
      <c r="B10" s="80" t="s">
        <v>32</v>
      </c>
      <c r="C10" s="60" t="s">
        <v>26</v>
      </c>
      <c r="D10" s="60" t="s">
        <v>24</v>
      </c>
      <c r="E10" s="61" t="s">
        <v>27</v>
      </c>
      <c r="F10" s="57">
        <v>5177</v>
      </c>
      <c r="G10" s="54">
        <v>1324.883</v>
      </c>
      <c r="H10" s="54">
        <v>1166.884</v>
      </c>
      <c r="I10" s="54">
        <v>1198.797</v>
      </c>
      <c r="J10" s="54">
        <v>1364.556</v>
      </c>
      <c r="K10" s="54">
        <v>1598.04</v>
      </c>
      <c r="L10" s="54">
        <v>1761.7909999999999</v>
      </c>
      <c r="M10" s="54">
        <v>1905.4079999999999</v>
      </c>
      <c r="N10" s="54">
        <v>2016.453</v>
      </c>
      <c r="O10" s="54">
        <v>2027.0509999999999</v>
      </c>
      <c r="P10" s="54">
        <v>5055.12</v>
      </c>
      <c r="Q10" s="54">
        <v>7710.7030000000004</v>
      </c>
      <c r="R10" s="47">
        <f t="shared" si="0"/>
        <v>2655.5830000000005</v>
      </c>
    </row>
    <row r="11" spans="1:18" s="18" customFormat="1" ht="30" customHeight="1">
      <c r="A11" s="50" t="s">
        <v>24</v>
      </c>
      <c r="B11" s="80" t="s">
        <v>32</v>
      </c>
      <c r="C11" s="60" t="s">
        <v>26</v>
      </c>
      <c r="D11" s="60" t="s">
        <v>24</v>
      </c>
      <c r="E11" s="65" t="s">
        <v>28</v>
      </c>
      <c r="F11" s="57">
        <v>5177</v>
      </c>
      <c r="G11" s="54">
        <v>0</v>
      </c>
      <c r="H11" s="54">
        <v>0</v>
      </c>
      <c r="I11" s="54">
        <v>0</v>
      </c>
      <c r="J11" s="54">
        <v>18.21</v>
      </c>
      <c r="K11" s="54">
        <v>206.13</v>
      </c>
      <c r="L11" s="54">
        <v>192.8</v>
      </c>
      <c r="M11" s="54">
        <v>302.72000000000003</v>
      </c>
      <c r="N11" s="54">
        <v>329</v>
      </c>
      <c r="O11" s="54">
        <v>250</v>
      </c>
      <c r="P11" s="54">
        <v>2105.2600000000002</v>
      </c>
      <c r="Q11" s="54">
        <v>3605.54</v>
      </c>
      <c r="R11" s="47">
        <f t="shared" si="0"/>
        <v>1500.2799999999997</v>
      </c>
    </row>
    <row r="12" spans="1:18" s="18" customFormat="1" ht="30" customHeight="1">
      <c r="A12" s="50" t="s">
        <v>24</v>
      </c>
      <c r="B12" s="60" t="s">
        <v>25</v>
      </c>
      <c r="C12" s="71" t="s">
        <v>33</v>
      </c>
      <c r="D12" s="60" t="s">
        <v>24</v>
      </c>
      <c r="E12" s="61" t="s">
        <v>27</v>
      </c>
      <c r="F12" s="21">
        <v>4757</v>
      </c>
      <c r="G12" s="54">
        <v>2192.3249999999998</v>
      </c>
      <c r="H12" s="54">
        <v>1923.8240000000001</v>
      </c>
      <c r="I12" s="54">
        <v>2185.7779999999998</v>
      </c>
      <c r="J12" s="54">
        <v>2989.326</v>
      </c>
      <c r="K12" s="54">
        <v>3156.7249999999999</v>
      </c>
      <c r="L12" s="54">
        <v>3329.9189999999999</v>
      </c>
      <c r="M12" s="54">
        <v>3349.4</v>
      </c>
      <c r="N12" s="54">
        <v>3493.4650000000001</v>
      </c>
      <c r="O12" s="54">
        <v>3469.6660000000002</v>
      </c>
      <c r="P12" s="54">
        <v>9291.2520000000004</v>
      </c>
      <c r="Q12" s="54">
        <v>13642.45</v>
      </c>
      <c r="R12" s="47">
        <f t="shared" si="0"/>
        <v>4351.1980000000003</v>
      </c>
    </row>
    <row r="13" spans="1:18" s="18" customFormat="1" ht="30" customHeight="1">
      <c r="A13" s="50" t="s">
        <v>24</v>
      </c>
      <c r="B13" s="60" t="s">
        <v>25</v>
      </c>
      <c r="C13" s="71" t="s">
        <v>33</v>
      </c>
      <c r="D13" s="60" t="s">
        <v>24</v>
      </c>
      <c r="E13" s="65" t="s">
        <v>28</v>
      </c>
      <c r="F13" s="21">
        <v>4757</v>
      </c>
      <c r="G13" s="54">
        <v>677.88</v>
      </c>
      <c r="H13" s="54">
        <v>598.24</v>
      </c>
      <c r="I13" s="54">
        <v>1591.64</v>
      </c>
      <c r="J13" s="54">
        <v>2778.95</v>
      </c>
      <c r="K13" s="54">
        <v>2915.07</v>
      </c>
      <c r="L13" s="54">
        <v>3117.29</v>
      </c>
      <c r="M13" s="54">
        <v>3056.73</v>
      </c>
      <c r="N13" s="54">
        <v>3168.09</v>
      </c>
      <c r="O13" s="54">
        <v>3100.05</v>
      </c>
      <c r="P13" s="54">
        <v>2639.74</v>
      </c>
      <c r="Q13" s="54">
        <v>2549.86</v>
      </c>
      <c r="R13" s="47">
        <f t="shared" si="0"/>
        <v>-89.879999999999654</v>
      </c>
    </row>
    <row r="14" spans="1:18" s="18" customFormat="1" ht="30" customHeight="1">
      <c r="A14" s="50" t="s">
        <v>24</v>
      </c>
      <c r="B14" s="60" t="s">
        <v>25</v>
      </c>
      <c r="C14" s="73" t="s">
        <v>34</v>
      </c>
      <c r="D14" s="60" t="s">
        <v>24</v>
      </c>
      <c r="E14" s="61" t="s">
        <v>27</v>
      </c>
      <c r="F14" s="21">
        <v>6635</v>
      </c>
      <c r="G14" s="54">
        <v>1485.69</v>
      </c>
      <c r="H14" s="54">
        <v>1341.2660000000001</v>
      </c>
      <c r="I14" s="54">
        <v>1273.3689999999999</v>
      </c>
      <c r="J14" s="54">
        <v>1321.5609999999999</v>
      </c>
      <c r="K14" s="54">
        <v>1899.2660000000001</v>
      </c>
      <c r="L14" s="54">
        <v>2229.6390000000001</v>
      </c>
      <c r="M14" s="54">
        <v>2290.9969999999998</v>
      </c>
      <c r="N14" s="54">
        <v>2375.1010000000001</v>
      </c>
      <c r="O14" s="54">
        <v>2443.0369999999998</v>
      </c>
      <c r="P14" s="54">
        <v>5421.8860000000004</v>
      </c>
      <c r="Q14" s="54">
        <v>9338.7729999999992</v>
      </c>
      <c r="R14" s="47">
        <f t="shared" si="0"/>
        <v>3916.8869999999988</v>
      </c>
    </row>
    <row r="15" spans="1:18" s="55" customFormat="1" ht="30" customHeight="1">
      <c r="A15" s="50" t="s">
        <v>24</v>
      </c>
      <c r="B15" s="60" t="s">
        <v>25</v>
      </c>
      <c r="C15" s="73" t="s">
        <v>34</v>
      </c>
      <c r="D15" s="60" t="s">
        <v>24</v>
      </c>
      <c r="E15" s="65" t="s">
        <v>28</v>
      </c>
      <c r="F15" s="21">
        <v>6635</v>
      </c>
      <c r="G15" s="54">
        <v>0</v>
      </c>
      <c r="H15" s="54">
        <v>0</v>
      </c>
      <c r="I15" s="54">
        <v>0</v>
      </c>
      <c r="J15" s="54">
        <v>260.79000000000002</v>
      </c>
      <c r="K15" s="54">
        <v>1026.1300000000001</v>
      </c>
      <c r="L15" s="54">
        <v>1138.07</v>
      </c>
      <c r="M15" s="54">
        <v>1074.71</v>
      </c>
      <c r="N15" s="54">
        <v>1130.5</v>
      </c>
      <c r="O15" s="54">
        <v>1120.81</v>
      </c>
      <c r="P15" s="54">
        <v>2674.78</v>
      </c>
      <c r="Q15" s="54">
        <v>6014.59</v>
      </c>
      <c r="R15" s="47">
        <f t="shared" si="0"/>
        <v>3339.81</v>
      </c>
    </row>
    <row r="16" spans="1:18" s="18" customFormat="1" ht="30" customHeight="1">
      <c r="A16" s="50" t="s">
        <v>24</v>
      </c>
      <c r="B16" s="60" t="s">
        <v>25</v>
      </c>
      <c r="C16" s="74" t="s">
        <v>35</v>
      </c>
      <c r="D16" s="60" t="s">
        <v>24</v>
      </c>
      <c r="E16" s="61" t="s">
        <v>27</v>
      </c>
      <c r="F16" s="21">
        <v>6090</v>
      </c>
      <c r="G16" s="54">
        <v>1332.662</v>
      </c>
      <c r="H16" s="54">
        <v>1235.75</v>
      </c>
      <c r="I16" s="54">
        <v>1072.779</v>
      </c>
      <c r="J16" s="54">
        <v>799.78970000000004</v>
      </c>
      <c r="K16" s="54">
        <v>863.54589999999996</v>
      </c>
      <c r="L16" s="54">
        <v>1256.7909999999999</v>
      </c>
      <c r="M16" s="54">
        <v>1454.998</v>
      </c>
      <c r="N16" s="54">
        <v>1551.0730000000001</v>
      </c>
      <c r="O16" s="54">
        <v>1633.08</v>
      </c>
      <c r="P16" s="54">
        <v>4440.9809999999998</v>
      </c>
      <c r="Q16" s="54">
        <v>5895.942</v>
      </c>
      <c r="R16" s="47">
        <f t="shared" si="0"/>
        <v>1454.9610000000002</v>
      </c>
    </row>
    <row r="17" spans="1:18" s="18" customFormat="1" ht="30" customHeight="1">
      <c r="A17" s="50" t="s">
        <v>24</v>
      </c>
      <c r="B17" s="60" t="s">
        <v>25</v>
      </c>
      <c r="C17" s="74" t="s">
        <v>35</v>
      </c>
      <c r="D17" s="60" t="s">
        <v>24</v>
      </c>
      <c r="E17" s="65" t="s">
        <v>28</v>
      </c>
      <c r="F17" s="21">
        <v>6090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1354.62</v>
      </c>
      <c r="Q17" s="54">
        <v>2160.9699999999998</v>
      </c>
      <c r="R17" s="47">
        <f t="shared" si="0"/>
        <v>806.34999999999991</v>
      </c>
    </row>
    <row r="18" spans="1:18" s="55" customFormat="1" ht="30" customHeight="1">
      <c r="A18" s="50" t="s">
        <v>24</v>
      </c>
      <c r="B18" s="59" t="s">
        <v>29</v>
      </c>
      <c r="C18" s="74" t="s">
        <v>35</v>
      </c>
      <c r="D18" s="60" t="s">
        <v>24</v>
      </c>
      <c r="E18" s="61" t="s">
        <v>27</v>
      </c>
      <c r="F18" s="21">
        <v>1695</v>
      </c>
      <c r="G18" s="54">
        <v>1590.778</v>
      </c>
      <c r="H18" s="54">
        <v>1510.5239999999999</v>
      </c>
      <c r="I18" s="54">
        <v>1317.694</v>
      </c>
      <c r="J18" s="54">
        <v>946.61450000000002</v>
      </c>
      <c r="K18" s="54">
        <v>1008.765</v>
      </c>
      <c r="L18" s="54">
        <v>1509.329</v>
      </c>
      <c r="M18" s="54">
        <v>1673.587</v>
      </c>
      <c r="N18" s="54">
        <v>1773.24</v>
      </c>
      <c r="O18" s="54">
        <v>1878.4259999999999</v>
      </c>
      <c r="P18" s="54">
        <v>5365.61</v>
      </c>
      <c r="Q18" s="54">
        <v>6834.5820000000003</v>
      </c>
      <c r="R18" s="47">
        <f t="shared" si="0"/>
        <v>1468.9720000000007</v>
      </c>
    </row>
    <row r="19" spans="1:18" s="18" customFormat="1" ht="30" customHeight="1">
      <c r="A19" s="50" t="s">
        <v>24</v>
      </c>
      <c r="B19" s="59" t="s">
        <v>29</v>
      </c>
      <c r="C19" s="74" t="s">
        <v>35</v>
      </c>
      <c r="D19" s="60" t="s">
        <v>24</v>
      </c>
      <c r="E19" s="65" t="s">
        <v>28</v>
      </c>
      <c r="F19" s="21">
        <v>1695</v>
      </c>
      <c r="G19" s="54">
        <v>73.88</v>
      </c>
      <c r="H19" s="54">
        <v>15.22</v>
      </c>
      <c r="I19" s="54">
        <v>0</v>
      </c>
      <c r="J19" s="54">
        <v>0</v>
      </c>
      <c r="K19" s="54">
        <v>32.630000000000003</v>
      </c>
      <c r="L19" s="54">
        <v>157.5</v>
      </c>
      <c r="M19" s="54">
        <v>142.29</v>
      </c>
      <c r="N19" s="54">
        <v>247.5</v>
      </c>
      <c r="O19" s="54">
        <v>291.07</v>
      </c>
      <c r="P19" s="54">
        <v>2024.85</v>
      </c>
      <c r="Q19" s="54">
        <v>3316.05</v>
      </c>
      <c r="R19" s="47">
        <f t="shared" si="0"/>
        <v>1291.2000000000003</v>
      </c>
    </row>
    <row r="20" spans="1:18" s="18" customFormat="1" ht="30" customHeight="1">
      <c r="A20" s="50" t="s">
        <v>24</v>
      </c>
      <c r="B20" s="81" t="s">
        <v>30</v>
      </c>
      <c r="C20" s="74" t="s">
        <v>35</v>
      </c>
      <c r="D20" s="60" t="s">
        <v>24</v>
      </c>
      <c r="E20" s="61" t="s">
        <v>27</v>
      </c>
      <c r="F20" s="21">
        <v>1881</v>
      </c>
      <c r="G20" s="54">
        <v>1401.183</v>
      </c>
      <c r="H20" s="54">
        <v>1263.655</v>
      </c>
      <c r="I20" s="54">
        <v>1090.5609999999999</v>
      </c>
      <c r="J20" s="54">
        <v>790.846</v>
      </c>
      <c r="K20" s="54">
        <v>869.68719999999996</v>
      </c>
      <c r="L20" s="54">
        <v>1306.249</v>
      </c>
      <c r="M20" s="54">
        <v>1552.761</v>
      </c>
      <c r="N20" s="54">
        <v>1604.7180000000001</v>
      </c>
      <c r="O20" s="54">
        <v>1685.703</v>
      </c>
      <c r="P20" s="54">
        <v>4546.2449999999999</v>
      </c>
      <c r="Q20" s="54">
        <v>6149.4309999999996</v>
      </c>
      <c r="R20" s="47">
        <f t="shared" si="0"/>
        <v>1603.1859999999997</v>
      </c>
    </row>
    <row r="21" spans="1:18" s="18" customFormat="1" ht="30" customHeight="1">
      <c r="A21" s="50" t="s">
        <v>24</v>
      </c>
      <c r="B21" s="81" t="s">
        <v>30</v>
      </c>
      <c r="C21" s="74" t="s">
        <v>35</v>
      </c>
      <c r="D21" s="60" t="s">
        <v>24</v>
      </c>
      <c r="E21" s="65" t="s">
        <v>28</v>
      </c>
      <c r="F21" s="21">
        <v>1881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67.599999999999994</v>
      </c>
      <c r="O21" s="54">
        <v>65.7</v>
      </c>
      <c r="P21" s="54">
        <v>1423.27</v>
      </c>
      <c r="Q21" s="54">
        <v>2255.92</v>
      </c>
      <c r="R21" s="47">
        <f t="shared" si="0"/>
        <v>832.65000000000009</v>
      </c>
    </row>
    <row r="22" spans="1:18" s="18" customFormat="1" ht="30" customHeight="1">
      <c r="A22" s="50" t="s">
        <v>24</v>
      </c>
      <c r="B22" s="82" t="s">
        <v>31</v>
      </c>
      <c r="C22" s="74" t="s">
        <v>35</v>
      </c>
      <c r="D22" s="60" t="s">
        <v>24</v>
      </c>
      <c r="E22" s="61" t="s">
        <v>27</v>
      </c>
      <c r="F22" s="21">
        <v>1440</v>
      </c>
      <c r="G22" s="54">
        <v>1084.585</v>
      </c>
      <c r="H22" s="54">
        <v>1035.6980000000001</v>
      </c>
      <c r="I22" s="54">
        <v>899.3854</v>
      </c>
      <c r="J22" s="54">
        <v>782.78120000000001</v>
      </c>
      <c r="K22" s="54">
        <v>813.93510000000003</v>
      </c>
      <c r="L22" s="54">
        <v>1079.1310000000001</v>
      </c>
      <c r="M22" s="54">
        <v>1211.5999999999999</v>
      </c>
      <c r="N22" s="54">
        <v>1335.154</v>
      </c>
      <c r="O22" s="54">
        <v>1419.1780000000001</v>
      </c>
      <c r="P22" s="54">
        <v>3802.45</v>
      </c>
      <c r="Q22" s="54">
        <v>5045.0640000000003</v>
      </c>
      <c r="R22" s="47">
        <f t="shared" si="0"/>
        <v>1242.6140000000005</v>
      </c>
    </row>
    <row r="23" spans="1:18" s="18" customFormat="1" ht="30" customHeight="1">
      <c r="A23" s="50" t="s">
        <v>24</v>
      </c>
      <c r="B23" s="82" t="s">
        <v>31</v>
      </c>
      <c r="C23" s="74" t="s">
        <v>35</v>
      </c>
      <c r="D23" s="60" t="s">
        <v>24</v>
      </c>
      <c r="E23" s="65" t="s">
        <v>28</v>
      </c>
      <c r="F23" s="21">
        <v>1440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947.97500000000002</v>
      </c>
      <c r="Q23" s="54">
        <v>1247.2149999999999</v>
      </c>
      <c r="R23" s="47">
        <f t="shared" si="0"/>
        <v>299.2399999999999</v>
      </c>
    </row>
    <row r="24" spans="1:18" s="18" customFormat="1" ht="30" customHeight="1">
      <c r="A24" s="50" t="s">
        <v>24</v>
      </c>
      <c r="B24" s="80" t="s">
        <v>32</v>
      </c>
      <c r="C24" s="74" t="s">
        <v>35</v>
      </c>
      <c r="D24" s="60" t="s">
        <v>24</v>
      </c>
      <c r="E24" s="61" t="s">
        <v>27</v>
      </c>
      <c r="F24" s="21">
        <v>1074</v>
      </c>
      <c r="G24" s="54">
        <v>1137.913</v>
      </c>
      <c r="H24" s="54">
        <v>1021.451</v>
      </c>
      <c r="I24" s="54">
        <v>887.59059999999999</v>
      </c>
      <c r="J24" s="54">
        <v>606.53790000000004</v>
      </c>
      <c r="K24" s="54">
        <v>690.12139999999999</v>
      </c>
      <c r="L24" s="54">
        <v>1009.813</v>
      </c>
      <c r="M24" s="54">
        <v>1265.1420000000001</v>
      </c>
      <c r="N24" s="54">
        <v>1395.9939999999999</v>
      </c>
      <c r="O24" s="54">
        <v>1440.501</v>
      </c>
      <c r="P24" s="54">
        <v>3653.4920000000002</v>
      </c>
      <c r="Q24" s="54">
        <v>5111.45</v>
      </c>
      <c r="R24" s="47">
        <f t="shared" si="0"/>
        <v>1457.9579999999996</v>
      </c>
    </row>
    <row r="25" spans="1:18" s="18" customFormat="1" ht="30" customHeight="1">
      <c r="A25" s="50" t="s">
        <v>24</v>
      </c>
      <c r="B25" s="80" t="s">
        <v>32</v>
      </c>
      <c r="C25" s="74" t="s">
        <v>35</v>
      </c>
      <c r="D25" s="60" t="s">
        <v>24</v>
      </c>
      <c r="E25" s="65" t="s">
        <v>28</v>
      </c>
      <c r="F25" s="21">
        <v>1074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780.64499999999998</v>
      </c>
      <c r="Q25" s="54">
        <v>1538.915</v>
      </c>
      <c r="R25" s="47">
        <f t="shared" si="0"/>
        <v>758.27</v>
      </c>
    </row>
    <row r="26" spans="1:18" s="18" customFormat="1" ht="30" customHeight="1">
      <c r="A26" s="50" t="s">
        <v>24</v>
      </c>
      <c r="B26" s="50" t="s">
        <v>25</v>
      </c>
      <c r="C26" s="60" t="s">
        <v>26</v>
      </c>
      <c r="D26" s="77" t="s">
        <v>36</v>
      </c>
      <c r="E26" s="61" t="s">
        <v>27</v>
      </c>
      <c r="F26" s="21">
        <v>18298</v>
      </c>
      <c r="G26" s="54">
        <v>1371.741</v>
      </c>
      <c r="H26" s="54">
        <v>1265.123</v>
      </c>
      <c r="I26" s="54">
        <v>1143.1320000000001</v>
      </c>
      <c r="J26" s="54">
        <v>918.47559999999999</v>
      </c>
      <c r="K26" s="54">
        <v>1129.3900000000001</v>
      </c>
      <c r="L26" s="54">
        <v>1510.2650000000001</v>
      </c>
      <c r="M26" s="54">
        <v>1653.68</v>
      </c>
      <c r="N26" s="54">
        <v>1762.6769999999999</v>
      </c>
      <c r="O26" s="54">
        <v>1830.3019999999999</v>
      </c>
      <c r="P26" s="54">
        <v>4698.4719999999998</v>
      </c>
      <c r="Q26" s="54">
        <v>6756.9250000000002</v>
      </c>
      <c r="R26" s="47">
        <f t="shared" si="0"/>
        <v>2058.4530000000004</v>
      </c>
    </row>
    <row r="27" spans="1:18" s="18" customFormat="1" ht="30" customHeight="1">
      <c r="A27" s="50" t="s">
        <v>24</v>
      </c>
      <c r="B27" s="50" t="s">
        <v>25</v>
      </c>
      <c r="C27" s="60" t="s">
        <v>26</v>
      </c>
      <c r="D27" s="77" t="s">
        <v>36</v>
      </c>
      <c r="E27" s="65" t="s">
        <v>28</v>
      </c>
      <c r="F27" s="21">
        <v>18298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54.505000000000003</v>
      </c>
      <c r="O27" s="54">
        <v>52.14</v>
      </c>
      <c r="P27" s="54">
        <v>1428.5150000000001</v>
      </c>
      <c r="Q27" s="54">
        <v>2586.21</v>
      </c>
      <c r="R27" s="47">
        <f t="shared" si="0"/>
        <v>1157.6949999999999</v>
      </c>
    </row>
    <row r="28" spans="1:18" s="18" customFormat="1" ht="30" customHeight="1">
      <c r="A28" s="50" t="s">
        <v>24</v>
      </c>
      <c r="B28" s="59" t="s">
        <v>29</v>
      </c>
      <c r="C28" s="60" t="s">
        <v>26</v>
      </c>
      <c r="D28" s="77" t="s">
        <v>36</v>
      </c>
      <c r="E28" s="61" t="s">
        <v>27</v>
      </c>
      <c r="F28" s="21">
        <v>4157</v>
      </c>
      <c r="G28" s="54">
        <v>1656.4739999999999</v>
      </c>
      <c r="H28" s="54">
        <v>1580.9259999999999</v>
      </c>
      <c r="I28" s="54">
        <v>1390.932</v>
      </c>
      <c r="J28" s="54">
        <v>1056.9860000000001</v>
      </c>
      <c r="K28" s="54">
        <v>1251.3910000000001</v>
      </c>
      <c r="L28" s="54">
        <v>1771.7950000000001</v>
      </c>
      <c r="M28" s="54">
        <v>1890.0029999999999</v>
      </c>
      <c r="N28" s="54">
        <v>1980.0129999999999</v>
      </c>
      <c r="O28" s="54">
        <v>2067.038</v>
      </c>
      <c r="P28" s="54">
        <v>5685.317</v>
      </c>
      <c r="Q28" s="54">
        <v>7708.8490000000002</v>
      </c>
      <c r="R28" s="47">
        <f t="shared" si="0"/>
        <v>2023.5320000000002</v>
      </c>
    </row>
    <row r="29" spans="1:18" s="18" customFormat="1" ht="30" customHeight="1">
      <c r="A29" s="50" t="s">
        <v>24</v>
      </c>
      <c r="B29" s="59" t="s">
        <v>29</v>
      </c>
      <c r="C29" s="60" t="s">
        <v>26</v>
      </c>
      <c r="D29" s="77" t="s">
        <v>36</v>
      </c>
      <c r="E29" s="65" t="s">
        <v>28</v>
      </c>
      <c r="F29" s="21">
        <v>4157</v>
      </c>
      <c r="G29" s="54">
        <v>14.38</v>
      </c>
      <c r="H29" s="54">
        <v>36.75</v>
      </c>
      <c r="I29" s="54">
        <v>0</v>
      </c>
      <c r="J29" s="54">
        <v>0</v>
      </c>
      <c r="K29" s="54">
        <v>184.99</v>
      </c>
      <c r="L29" s="54">
        <v>315.47000000000003</v>
      </c>
      <c r="M29" s="54">
        <v>320</v>
      </c>
      <c r="N29" s="54">
        <v>333.2</v>
      </c>
      <c r="O29" s="54">
        <v>339.19</v>
      </c>
      <c r="P29" s="54">
        <v>2316.4</v>
      </c>
      <c r="Q29" s="54">
        <v>3786.58</v>
      </c>
      <c r="R29" s="47">
        <f t="shared" si="0"/>
        <v>1470.1799999999998</v>
      </c>
    </row>
    <row r="30" spans="1:18" s="18" customFormat="1" ht="30" customHeight="1">
      <c r="A30" s="50" t="s">
        <v>24</v>
      </c>
      <c r="B30" s="81" t="s">
        <v>30</v>
      </c>
      <c r="C30" s="60" t="s">
        <v>26</v>
      </c>
      <c r="D30" s="77" t="s">
        <v>36</v>
      </c>
      <c r="E30" s="61" t="s">
        <v>27</v>
      </c>
      <c r="F30" s="21">
        <v>4411</v>
      </c>
      <c r="G30" s="54">
        <v>1533.634</v>
      </c>
      <c r="H30" s="54">
        <v>1394.297</v>
      </c>
      <c r="I30" s="54">
        <v>1228.4870000000001</v>
      </c>
      <c r="J30" s="54">
        <v>924.68320000000006</v>
      </c>
      <c r="K30" s="54">
        <v>1112.653</v>
      </c>
      <c r="L30" s="54">
        <v>1577.605</v>
      </c>
      <c r="M30" s="54">
        <v>1769.0229999999999</v>
      </c>
      <c r="N30" s="54">
        <v>1862.941</v>
      </c>
      <c r="O30" s="54">
        <v>1955.076</v>
      </c>
      <c r="P30" s="54">
        <v>5081.1000000000004</v>
      </c>
      <c r="Q30" s="54">
        <v>7164.6450000000004</v>
      </c>
      <c r="R30" s="47">
        <f t="shared" si="0"/>
        <v>2083.5450000000001</v>
      </c>
    </row>
    <row r="31" spans="1:18" s="18" customFormat="1" ht="30" customHeight="1">
      <c r="A31" s="50" t="s">
        <v>24</v>
      </c>
      <c r="B31" s="81" t="s">
        <v>30</v>
      </c>
      <c r="C31" s="60" t="s">
        <v>26</v>
      </c>
      <c r="D31" s="77" t="s">
        <v>36</v>
      </c>
      <c r="E31" s="65" t="s">
        <v>28</v>
      </c>
      <c r="F31" s="21">
        <v>4411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32</v>
      </c>
      <c r="M31" s="54">
        <v>122</v>
      </c>
      <c r="N31" s="54">
        <v>184.3</v>
      </c>
      <c r="O31" s="54">
        <v>239.43</v>
      </c>
      <c r="P31" s="54">
        <v>1608.1</v>
      </c>
      <c r="Q31" s="54">
        <v>3055.77</v>
      </c>
      <c r="R31" s="47">
        <f t="shared" si="0"/>
        <v>1447.67</v>
      </c>
    </row>
    <row r="32" spans="1:18" s="18" customFormat="1" ht="30" customHeight="1">
      <c r="A32" s="50" t="s">
        <v>24</v>
      </c>
      <c r="B32" s="82" t="s">
        <v>31</v>
      </c>
      <c r="C32" s="60" t="s">
        <v>26</v>
      </c>
      <c r="D32" s="77" t="s">
        <v>36</v>
      </c>
      <c r="E32" s="61" t="s">
        <v>27</v>
      </c>
      <c r="F32" s="21">
        <v>5576</v>
      </c>
      <c r="G32" s="54">
        <v>1171.0250000000001</v>
      </c>
      <c r="H32" s="54">
        <v>1077.287</v>
      </c>
      <c r="I32" s="54">
        <v>1008.554</v>
      </c>
      <c r="J32" s="54">
        <v>881.56299999999999</v>
      </c>
      <c r="K32" s="54">
        <v>1112.2750000000001</v>
      </c>
      <c r="L32" s="54">
        <v>1399.432</v>
      </c>
      <c r="M32" s="54">
        <v>1492.52</v>
      </c>
      <c r="N32" s="54">
        <v>1611.741</v>
      </c>
      <c r="O32" s="54">
        <v>1682.588</v>
      </c>
      <c r="P32" s="54">
        <v>4138.4279999999999</v>
      </c>
      <c r="Q32" s="54">
        <v>6186.2809999999999</v>
      </c>
      <c r="R32" s="47">
        <f t="shared" si="0"/>
        <v>2047.8530000000001</v>
      </c>
    </row>
    <row r="33" spans="1:27" s="55" customFormat="1" ht="30" customHeight="1">
      <c r="A33" s="50" t="s">
        <v>24</v>
      </c>
      <c r="B33" s="82" t="s">
        <v>31</v>
      </c>
      <c r="C33" s="60" t="s">
        <v>26</v>
      </c>
      <c r="D33" s="77" t="s">
        <v>36</v>
      </c>
      <c r="E33" s="65" t="s">
        <v>28</v>
      </c>
      <c r="F33" s="21">
        <v>5576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1045.58</v>
      </c>
      <c r="Q33" s="54">
        <v>1816.34</v>
      </c>
      <c r="R33" s="47">
        <f t="shared" si="0"/>
        <v>770.76</v>
      </c>
    </row>
    <row r="34" spans="1:27" s="18" customFormat="1" ht="30" customHeight="1">
      <c r="A34" s="50" t="s">
        <v>24</v>
      </c>
      <c r="B34" s="80" t="s">
        <v>32</v>
      </c>
      <c r="C34" s="60" t="s">
        <v>26</v>
      </c>
      <c r="D34" s="77" t="s">
        <v>36</v>
      </c>
      <c r="E34" s="61" t="s">
        <v>27</v>
      </c>
      <c r="F34" s="21">
        <v>4154</v>
      </c>
      <c r="G34" s="54">
        <v>1184.3209999999999</v>
      </c>
      <c r="H34" s="54">
        <v>1064.0650000000001</v>
      </c>
      <c r="I34" s="54">
        <v>985.16250000000002</v>
      </c>
      <c r="J34" s="54">
        <v>822.82240000000002</v>
      </c>
      <c r="K34" s="54">
        <v>1048.046</v>
      </c>
      <c r="L34" s="54">
        <v>1325.8150000000001</v>
      </c>
      <c r="M34" s="54">
        <v>1511.038</v>
      </c>
      <c r="N34" s="54">
        <v>1641.3230000000001</v>
      </c>
      <c r="O34" s="54">
        <v>1659.181</v>
      </c>
      <c r="P34" s="54">
        <v>4056.37</v>
      </c>
      <c r="Q34" s="54">
        <v>6137.357</v>
      </c>
      <c r="R34" s="47">
        <f t="shared" si="0"/>
        <v>2080.9870000000001</v>
      </c>
    </row>
    <row r="35" spans="1:27" s="18" customFormat="1" ht="30" customHeight="1">
      <c r="A35" s="50" t="s">
        <v>24</v>
      </c>
      <c r="B35" s="80" t="s">
        <v>32</v>
      </c>
      <c r="C35" s="60" t="s">
        <v>26</v>
      </c>
      <c r="D35" s="77" t="s">
        <v>36</v>
      </c>
      <c r="E35" s="65" t="s">
        <v>28</v>
      </c>
      <c r="F35" s="21">
        <v>4154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979.58</v>
      </c>
      <c r="Q35" s="54">
        <v>2006.25</v>
      </c>
      <c r="R35" s="47">
        <f t="shared" si="0"/>
        <v>1026.67</v>
      </c>
    </row>
    <row r="36" spans="1:27" s="18" customFormat="1" ht="30" customHeight="1">
      <c r="A36" s="50" t="s">
        <v>24</v>
      </c>
      <c r="B36" s="50" t="s">
        <v>25</v>
      </c>
      <c r="C36" s="60" t="s">
        <v>26</v>
      </c>
      <c r="D36" s="78" t="s">
        <v>37</v>
      </c>
      <c r="E36" s="61" t="s">
        <v>27</v>
      </c>
      <c r="F36" s="21">
        <v>4207</v>
      </c>
      <c r="G36" s="54">
        <v>1937.6579999999999</v>
      </c>
      <c r="H36" s="54">
        <v>1667.58</v>
      </c>
      <c r="I36" s="54">
        <v>2078.1909999999998</v>
      </c>
      <c r="J36" s="54">
        <v>3584.5479999999998</v>
      </c>
      <c r="K36" s="54">
        <v>3970.4630000000002</v>
      </c>
      <c r="L36" s="54">
        <v>3812.9369999999999</v>
      </c>
      <c r="M36" s="54">
        <v>3725.6390000000001</v>
      </c>
      <c r="N36" s="54">
        <v>3801.5650000000001</v>
      </c>
      <c r="O36" s="54">
        <v>3760.8319999999999</v>
      </c>
      <c r="P36" s="54">
        <v>9267.9770000000008</v>
      </c>
      <c r="Q36" s="54">
        <v>15100.97</v>
      </c>
      <c r="R36" s="47">
        <f t="shared" si="0"/>
        <v>5832.9929999999986</v>
      </c>
    </row>
    <row r="37" spans="1:27" s="18" customFormat="1" ht="30" customHeight="1">
      <c r="A37" s="50" t="s">
        <v>24</v>
      </c>
      <c r="B37" s="50" t="s">
        <v>25</v>
      </c>
      <c r="C37" s="60" t="s">
        <v>26</v>
      </c>
      <c r="D37" s="78" t="s">
        <v>37</v>
      </c>
      <c r="E37" s="65" t="s">
        <v>28</v>
      </c>
      <c r="F37" s="21">
        <v>4207</v>
      </c>
      <c r="G37" s="54">
        <v>527.5</v>
      </c>
      <c r="H37" s="54">
        <v>462</v>
      </c>
      <c r="I37" s="54">
        <v>1624.77</v>
      </c>
      <c r="J37" s="54">
        <v>3425.91</v>
      </c>
      <c r="K37" s="54">
        <v>3791.94</v>
      </c>
      <c r="L37" s="54">
        <v>3644</v>
      </c>
      <c r="M37" s="54">
        <v>3504.83</v>
      </c>
      <c r="N37" s="54">
        <v>3566.31</v>
      </c>
      <c r="O37" s="54">
        <v>3570.5</v>
      </c>
      <c r="P37" s="54">
        <v>7950.38</v>
      </c>
      <c r="Q37" s="54">
        <v>13889.5</v>
      </c>
      <c r="R37" s="47">
        <f t="shared" si="0"/>
        <v>5939.12</v>
      </c>
    </row>
    <row r="38" spans="1:27" s="18" customFormat="1" ht="30" customHeight="1">
      <c r="A38" s="50" t="s">
        <v>24</v>
      </c>
      <c r="B38" s="59" t="s">
        <v>29</v>
      </c>
      <c r="C38" s="60" t="s">
        <v>26</v>
      </c>
      <c r="D38" s="78" t="s">
        <v>37</v>
      </c>
      <c r="E38" s="61" t="s">
        <v>27</v>
      </c>
      <c r="F38" s="21">
        <v>992</v>
      </c>
      <c r="G38" s="54">
        <v>2232.9470000000001</v>
      </c>
      <c r="H38" s="54">
        <v>1864.422</v>
      </c>
      <c r="I38" s="54">
        <v>2064.6089999999999</v>
      </c>
      <c r="J38" s="54">
        <v>3658.45</v>
      </c>
      <c r="K38" s="54">
        <v>4201.5550000000003</v>
      </c>
      <c r="L38" s="54">
        <v>4131.259</v>
      </c>
      <c r="M38" s="54">
        <v>3960.8359999999998</v>
      </c>
      <c r="N38" s="54">
        <v>4079.2170000000001</v>
      </c>
      <c r="O38" s="54">
        <v>3863.8519999999999</v>
      </c>
      <c r="P38" s="54">
        <v>9820.4290000000001</v>
      </c>
      <c r="Q38" s="54">
        <v>16035.16</v>
      </c>
      <c r="R38" s="47">
        <f t="shared" si="0"/>
        <v>6214.7309999999998</v>
      </c>
    </row>
    <row r="39" spans="1:27" s="18" customFormat="1" ht="30" customHeight="1">
      <c r="A39" s="50" t="s">
        <v>24</v>
      </c>
      <c r="B39" s="59" t="s">
        <v>29</v>
      </c>
      <c r="C39" s="60" t="s">
        <v>26</v>
      </c>
      <c r="D39" s="78" t="s">
        <v>37</v>
      </c>
      <c r="E39" s="65" t="s">
        <v>28</v>
      </c>
      <c r="F39" s="21">
        <v>992</v>
      </c>
      <c r="G39" s="54">
        <v>795.02499999999998</v>
      </c>
      <c r="H39" s="54">
        <v>396.25</v>
      </c>
      <c r="I39" s="54">
        <v>1553.54</v>
      </c>
      <c r="J39" s="54">
        <v>3449.15</v>
      </c>
      <c r="K39" s="54">
        <v>3954.3649999999998</v>
      </c>
      <c r="L39" s="54">
        <v>3886.88</v>
      </c>
      <c r="M39" s="54">
        <v>3595.355</v>
      </c>
      <c r="N39" s="54">
        <v>3815.895</v>
      </c>
      <c r="O39" s="54">
        <v>3639.82</v>
      </c>
      <c r="P39" s="54">
        <v>8295.0499999999993</v>
      </c>
      <c r="Q39" s="54">
        <v>14485.69</v>
      </c>
      <c r="R39" s="47">
        <f t="shared" si="0"/>
        <v>6190.6400000000012</v>
      </c>
    </row>
    <row r="40" spans="1:27" s="18" customFormat="1" ht="30" customHeight="1">
      <c r="A40" s="50" t="s">
        <v>24</v>
      </c>
      <c r="B40" s="81" t="s">
        <v>30</v>
      </c>
      <c r="C40" s="60" t="s">
        <v>26</v>
      </c>
      <c r="D40" s="78" t="s">
        <v>37</v>
      </c>
      <c r="E40" s="61" t="s">
        <v>27</v>
      </c>
      <c r="F40" s="21">
        <v>954</v>
      </c>
      <c r="G40" s="54">
        <v>1849.0509999999999</v>
      </c>
      <c r="H40" s="54">
        <v>1630.66</v>
      </c>
      <c r="I40" s="54">
        <v>1975.5630000000001</v>
      </c>
      <c r="J40" s="54">
        <v>3500.8620000000001</v>
      </c>
      <c r="K40" s="54">
        <v>3937.1</v>
      </c>
      <c r="L40" s="54">
        <v>3871.48</v>
      </c>
      <c r="M40" s="54">
        <v>3837.4349999999999</v>
      </c>
      <c r="N40" s="54">
        <v>3980.6219999999998</v>
      </c>
      <c r="O40" s="54">
        <v>3906.79</v>
      </c>
      <c r="P40" s="54">
        <v>8956.1360000000004</v>
      </c>
      <c r="Q40" s="54">
        <v>15596.33</v>
      </c>
      <c r="R40" s="47">
        <f t="shared" si="0"/>
        <v>6640.1939999999995</v>
      </c>
    </row>
    <row r="41" spans="1:27" s="18" customFormat="1" ht="30" customHeight="1">
      <c r="A41" s="50" t="s">
        <v>24</v>
      </c>
      <c r="B41" s="81" t="s">
        <v>30</v>
      </c>
      <c r="C41" s="60" t="s">
        <v>26</v>
      </c>
      <c r="D41" s="78" t="s">
        <v>37</v>
      </c>
      <c r="E41" s="65" t="s">
        <v>28</v>
      </c>
      <c r="F41" s="21">
        <v>954</v>
      </c>
      <c r="G41" s="54">
        <v>351.15</v>
      </c>
      <c r="H41" s="54">
        <v>474.13499999999999</v>
      </c>
      <c r="I41" s="54">
        <v>1491.7349999999999</v>
      </c>
      <c r="J41" s="54">
        <v>3351.24</v>
      </c>
      <c r="K41" s="54">
        <v>3755.45</v>
      </c>
      <c r="L41" s="54">
        <v>3726.7849999999999</v>
      </c>
      <c r="M41" s="54">
        <v>3641.61</v>
      </c>
      <c r="N41" s="54">
        <v>3814.0450000000001</v>
      </c>
      <c r="O41" s="54">
        <v>3733.9949999999999</v>
      </c>
      <c r="P41" s="54">
        <v>7525.4250000000002</v>
      </c>
      <c r="Q41" s="54">
        <v>14616.27</v>
      </c>
      <c r="R41" s="47">
        <f t="shared" si="0"/>
        <v>7090.8450000000003</v>
      </c>
    </row>
    <row r="42" spans="1:27" s="18" customFormat="1" ht="30" customHeight="1">
      <c r="A42" s="50" t="s">
        <v>24</v>
      </c>
      <c r="B42" s="82" t="s">
        <v>31</v>
      </c>
      <c r="C42" s="60" t="s">
        <v>26</v>
      </c>
      <c r="D42" s="78" t="s">
        <v>37</v>
      </c>
      <c r="E42" s="61" t="s">
        <v>27</v>
      </c>
      <c r="F42" s="21">
        <v>1238</v>
      </c>
      <c r="G42" s="22">
        <v>1804.037</v>
      </c>
      <c r="H42" s="22">
        <v>1607.04</v>
      </c>
      <c r="I42" s="22">
        <v>2178.0010000000002</v>
      </c>
      <c r="J42" s="22">
        <v>3606.5320000000002</v>
      </c>
      <c r="K42" s="22">
        <v>3925.953</v>
      </c>
      <c r="L42" s="22">
        <v>3744.8020000000001</v>
      </c>
      <c r="M42" s="22">
        <v>3631.87</v>
      </c>
      <c r="N42" s="22">
        <v>3657.4839999999999</v>
      </c>
      <c r="O42" s="22">
        <v>3764.1320000000001</v>
      </c>
      <c r="P42" s="54">
        <v>9195.6090000000004</v>
      </c>
      <c r="Q42" s="54">
        <v>14798.29</v>
      </c>
      <c r="R42" s="47">
        <f t="shared" si="0"/>
        <v>5602.6810000000005</v>
      </c>
    </row>
    <row r="43" spans="1:27" s="18" customFormat="1" ht="30" customHeight="1">
      <c r="A43" s="50" t="s">
        <v>24</v>
      </c>
      <c r="B43" s="82" t="s">
        <v>31</v>
      </c>
      <c r="C43" s="60" t="s">
        <v>26</v>
      </c>
      <c r="D43" s="78" t="s">
        <v>37</v>
      </c>
      <c r="E43" s="65" t="s">
        <v>28</v>
      </c>
      <c r="F43" s="21">
        <v>1238</v>
      </c>
      <c r="G43" s="22">
        <v>270.10000000000002</v>
      </c>
      <c r="H43" s="22">
        <v>476.79</v>
      </c>
      <c r="I43" s="22">
        <v>1720.2</v>
      </c>
      <c r="J43" s="22">
        <v>3433.415</v>
      </c>
      <c r="K43" s="22">
        <v>3707.87</v>
      </c>
      <c r="L43" s="22">
        <v>3614.8049999999998</v>
      </c>
      <c r="M43" s="22">
        <v>3490.9549999999999</v>
      </c>
      <c r="N43" s="22">
        <v>3441.2750000000001</v>
      </c>
      <c r="O43" s="22">
        <v>3555.21</v>
      </c>
      <c r="P43" s="54">
        <v>7829.2150000000001</v>
      </c>
      <c r="Q43" s="54">
        <v>13965.21</v>
      </c>
      <c r="R43" s="47">
        <f t="shared" si="0"/>
        <v>6135.994999999999</v>
      </c>
    </row>
    <row r="44" spans="1:27" s="18" customFormat="1" ht="30" customHeight="1">
      <c r="A44" s="50" t="s">
        <v>24</v>
      </c>
      <c r="B44" s="80" t="s">
        <v>32</v>
      </c>
      <c r="C44" s="60" t="s">
        <v>26</v>
      </c>
      <c r="D44" s="78" t="s">
        <v>37</v>
      </c>
      <c r="E44" s="61" t="s">
        <v>27</v>
      </c>
      <c r="F44" s="21">
        <v>1023</v>
      </c>
      <c r="G44" s="22">
        <v>1895.65</v>
      </c>
      <c r="H44" s="22">
        <v>1584.395</v>
      </c>
      <c r="I44" s="22">
        <v>2066.2809999999999</v>
      </c>
      <c r="J44" s="22">
        <v>3564.3229999999999</v>
      </c>
      <c r="K44" s="22">
        <v>3831.348</v>
      </c>
      <c r="L44" s="22">
        <v>3532.1190000000001</v>
      </c>
      <c r="M44" s="22">
        <v>3506.79</v>
      </c>
      <c r="N44" s="22">
        <v>3539.7069999999999</v>
      </c>
      <c r="O44" s="22">
        <v>3520.8270000000002</v>
      </c>
      <c r="P44" s="54">
        <v>9110.6489999999994</v>
      </c>
      <c r="Q44" s="54">
        <v>14099.44</v>
      </c>
      <c r="R44" s="47">
        <f t="shared" si="0"/>
        <v>4988.7910000000011</v>
      </c>
    </row>
    <row r="45" spans="1:27" s="18" customFormat="1" ht="30" customHeight="1">
      <c r="A45" s="50" t="s">
        <v>24</v>
      </c>
      <c r="B45" s="80" t="s">
        <v>32</v>
      </c>
      <c r="C45" s="60" t="s">
        <v>26</v>
      </c>
      <c r="D45" s="78" t="s">
        <v>37</v>
      </c>
      <c r="E45" s="65" t="s">
        <v>28</v>
      </c>
      <c r="F45" s="21">
        <v>1023</v>
      </c>
      <c r="G45" s="22">
        <v>690.12</v>
      </c>
      <c r="H45" s="22">
        <v>480.32</v>
      </c>
      <c r="I45" s="22">
        <v>1677.69</v>
      </c>
      <c r="J45" s="22">
        <v>3458.08</v>
      </c>
      <c r="K45" s="22">
        <v>3751.72</v>
      </c>
      <c r="L45" s="22">
        <v>3450</v>
      </c>
      <c r="M45" s="22">
        <v>3340.96</v>
      </c>
      <c r="N45" s="22">
        <v>3247.31</v>
      </c>
      <c r="O45" s="22">
        <v>3293.36</v>
      </c>
      <c r="P45" s="54">
        <v>8111.44</v>
      </c>
      <c r="Q45" s="54">
        <v>12635.55</v>
      </c>
      <c r="R45" s="47">
        <f t="shared" si="0"/>
        <v>4524.1099999999997</v>
      </c>
    </row>
    <row r="46" spans="1:27" s="18" customFormat="1" ht="35.1" customHeight="1">
      <c r="A46" s="52" t="s">
        <v>38</v>
      </c>
      <c r="B46" s="51" t="s">
        <v>25</v>
      </c>
      <c r="C46" s="52" t="s">
        <v>26</v>
      </c>
      <c r="D46" s="52" t="s">
        <v>24</v>
      </c>
      <c r="E46" s="61" t="s">
        <v>27</v>
      </c>
      <c r="F46" s="137">
        <v>18587</v>
      </c>
      <c r="G46" s="169">
        <v>1288.4490000000001</v>
      </c>
      <c r="H46" s="169">
        <v>1163.2670000000001</v>
      </c>
      <c r="I46" s="169">
        <v>1135.384</v>
      </c>
      <c r="J46" s="169">
        <v>1214.845</v>
      </c>
      <c r="K46" s="170">
        <v>1437.5840000000001</v>
      </c>
      <c r="L46" s="169">
        <v>1690.3510000000001</v>
      </c>
      <c r="M46" s="169">
        <v>1771.9559999999999</v>
      </c>
      <c r="N46" s="169">
        <v>1873.3109999999999</v>
      </c>
      <c r="O46" s="169">
        <v>1909.2760000000001</v>
      </c>
      <c r="P46" s="169">
        <f t="shared" ref="P46:P67" si="1">AVERAGE(G46:J46)</f>
        <v>1200.4862500000002</v>
      </c>
      <c r="Q46" s="171">
        <f t="shared" ref="Q46:Q67" si="2">AVERAGE(L46:O46)</f>
        <v>1811.2234999999998</v>
      </c>
      <c r="R46" s="172">
        <f t="shared" si="0"/>
        <v>610.73724999999968</v>
      </c>
      <c r="S46" s="173"/>
      <c r="T46" s="139"/>
      <c r="U46" s="139"/>
      <c r="V46" s="15"/>
      <c r="W46" s="15"/>
      <c r="X46" s="15"/>
      <c r="Y46" s="15"/>
      <c r="Z46" s="16"/>
      <c r="AA46" s="17"/>
    </row>
    <row r="47" spans="1:27" s="18" customFormat="1" ht="35.1" customHeight="1">
      <c r="A47" s="60" t="s">
        <v>38</v>
      </c>
      <c r="B47" s="59" t="s">
        <v>29</v>
      </c>
      <c r="C47" s="60" t="s">
        <v>26</v>
      </c>
      <c r="D47" s="60" t="s">
        <v>24</v>
      </c>
      <c r="E47" s="61" t="s">
        <v>27</v>
      </c>
      <c r="F47" s="43">
        <v>4249</v>
      </c>
      <c r="G47" s="46">
        <v>1563.1189999999999</v>
      </c>
      <c r="H47" s="46">
        <v>1435.827</v>
      </c>
      <c r="I47" s="46">
        <v>1330.1780000000001</v>
      </c>
      <c r="J47" s="46">
        <v>1354.5730000000001</v>
      </c>
      <c r="K47" s="47">
        <v>1573.89</v>
      </c>
      <c r="L47" s="46">
        <v>1934.1949999999999</v>
      </c>
      <c r="M47" s="46">
        <v>1984.3969999999999</v>
      </c>
      <c r="N47" s="46">
        <v>2094.337</v>
      </c>
      <c r="O47" s="46">
        <v>2132.183</v>
      </c>
      <c r="P47" s="44">
        <f t="shared" si="1"/>
        <v>1420.92425</v>
      </c>
      <c r="Q47" s="46">
        <f t="shared" si="2"/>
        <v>2036.278</v>
      </c>
      <c r="R47" s="47">
        <f t="shared" si="0"/>
        <v>615.35374999999999</v>
      </c>
      <c r="S47" s="138"/>
      <c r="T47" s="138"/>
      <c r="U47" s="138"/>
      <c r="V47" s="36"/>
      <c r="W47" s="36"/>
      <c r="X47" s="36"/>
      <c r="Y47" s="36"/>
      <c r="Z47" s="37"/>
      <c r="AA47" s="19"/>
    </row>
    <row r="48" spans="1:27" s="18" customFormat="1" ht="35.1" customHeight="1">
      <c r="A48" s="60" t="s">
        <v>38</v>
      </c>
      <c r="B48" s="81" t="s">
        <v>30</v>
      </c>
      <c r="C48" s="60" t="s">
        <v>26</v>
      </c>
      <c r="D48" s="60" t="s">
        <v>24</v>
      </c>
      <c r="E48" s="61" t="s">
        <v>27</v>
      </c>
      <c r="F48" s="43">
        <v>4445</v>
      </c>
      <c r="G48" s="46">
        <v>1416.3510000000001</v>
      </c>
      <c r="H48" s="46">
        <v>1288.278</v>
      </c>
      <c r="I48" s="46">
        <v>1208.913</v>
      </c>
      <c r="J48" s="46">
        <v>1202.414</v>
      </c>
      <c r="K48" s="47">
        <v>1413.9090000000001</v>
      </c>
      <c r="L48" s="46">
        <v>1747.502</v>
      </c>
      <c r="M48" s="46">
        <v>1880.58</v>
      </c>
      <c r="N48" s="46">
        <v>1986.59</v>
      </c>
      <c r="O48" s="46">
        <v>2024.19</v>
      </c>
      <c r="P48" s="44">
        <f t="shared" si="1"/>
        <v>1278.989</v>
      </c>
      <c r="Q48" s="46">
        <f t="shared" si="2"/>
        <v>1909.7154999999998</v>
      </c>
      <c r="R48" s="47">
        <f t="shared" si="0"/>
        <v>630.72649999999976</v>
      </c>
      <c r="S48" s="138"/>
      <c r="T48" s="138"/>
      <c r="U48" s="138"/>
      <c r="V48" s="23"/>
      <c r="W48" s="23"/>
      <c r="X48" s="23"/>
      <c r="Y48" s="23"/>
      <c r="Z48" s="23"/>
      <c r="AA48" s="24"/>
    </row>
    <row r="49" spans="1:27" s="18" customFormat="1" ht="35.1" customHeight="1">
      <c r="A49" s="60" t="s">
        <v>38</v>
      </c>
      <c r="B49" s="82" t="s">
        <v>31</v>
      </c>
      <c r="C49" s="60" t="s">
        <v>26</v>
      </c>
      <c r="D49" s="60" t="s">
        <v>24</v>
      </c>
      <c r="E49" s="61" t="s">
        <v>27</v>
      </c>
      <c r="F49" s="43">
        <v>5656</v>
      </c>
      <c r="G49" s="46">
        <v>1112.22</v>
      </c>
      <c r="H49" s="46">
        <v>1016.12</v>
      </c>
      <c r="I49" s="46">
        <v>1041.569</v>
      </c>
      <c r="J49" s="46">
        <v>1183.481</v>
      </c>
      <c r="K49" s="47">
        <v>1411.8209999999999</v>
      </c>
      <c r="L49" s="46">
        <v>1600.56</v>
      </c>
      <c r="M49" s="46">
        <v>1646.0809999999999</v>
      </c>
      <c r="N49" s="46">
        <v>1734.1579999999999</v>
      </c>
      <c r="O49" s="46">
        <v>1780.8150000000001</v>
      </c>
      <c r="P49" s="44">
        <f t="shared" si="1"/>
        <v>1088.3475000000001</v>
      </c>
      <c r="Q49" s="46">
        <f t="shared" si="2"/>
        <v>1690.4034999999999</v>
      </c>
      <c r="R49" s="47">
        <f t="shared" si="0"/>
        <v>602.05599999999981</v>
      </c>
      <c r="S49" s="138"/>
      <c r="T49" s="138"/>
      <c r="U49" s="138"/>
      <c r="V49" s="23"/>
      <c r="W49" s="23"/>
      <c r="X49" s="23"/>
      <c r="Y49" s="23"/>
      <c r="Z49" s="23"/>
      <c r="AA49" s="24"/>
    </row>
    <row r="50" spans="1:27" s="18" customFormat="1" ht="35.1" customHeight="1">
      <c r="A50" s="60" t="s">
        <v>38</v>
      </c>
      <c r="B50" s="80" t="s">
        <v>32</v>
      </c>
      <c r="C50" s="60" t="s">
        <v>26</v>
      </c>
      <c r="D50" s="60" t="s">
        <v>24</v>
      </c>
      <c r="E50" s="61" t="s">
        <v>27</v>
      </c>
      <c r="F50" s="43">
        <v>4237</v>
      </c>
      <c r="G50" s="46">
        <v>1114.0709999999999</v>
      </c>
      <c r="H50" s="46">
        <v>955.21690000000001</v>
      </c>
      <c r="I50" s="46">
        <v>988.13599999999997</v>
      </c>
      <c r="J50" s="46">
        <v>1129.6300000000001</v>
      </c>
      <c r="K50" s="47">
        <v>1360.1210000000001</v>
      </c>
      <c r="L50" s="46">
        <v>1505.722</v>
      </c>
      <c r="M50" s="46">
        <v>1612.9870000000001</v>
      </c>
      <c r="N50" s="46">
        <v>1718.575</v>
      </c>
      <c r="O50" s="46">
        <v>1736.665</v>
      </c>
      <c r="P50" s="44">
        <f t="shared" si="1"/>
        <v>1046.763475</v>
      </c>
      <c r="Q50" s="46">
        <f t="shared" si="2"/>
        <v>1643.4872499999999</v>
      </c>
      <c r="R50" s="47">
        <f t="shared" si="0"/>
        <v>596.72377499999993</v>
      </c>
      <c r="S50" s="138"/>
      <c r="T50" s="138"/>
      <c r="U50" s="138"/>
      <c r="V50" s="23"/>
      <c r="W50" s="23"/>
      <c r="X50" s="23"/>
      <c r="Y50" s="23"/>
      <c r="Z50" s="23"/>
      <c r="AA50" s="24"/>
    </row>
    <row r="51" spans="1:27" s="18" customFormat="1" ht="35.1" customHeight="1">
      <c r="A51" s="60" t="s">
        <v>38</v>
      </c>
      <c r="B51" s="60" t="s">
        <v>25</v>
      </c>
      <c r="C51" s="71" t="s">
        <v>33</v>
      </c>
      <c r="D51" s="60" t="s">
        <v>24</v>
      </c>
      <c r="E51" s="61" t="s">
        <v>27</v>
      </c>
      <c r="F51" s="43">
        <v>3721</v>
      </c>
      <c r="G51" s="46">
        <v>1962.9359999999999</v>
      </c>
      <c r="H51" s="46">
        <v>1721.9880000000001</v>
      </c>
      <c r="I51" s="46">
        <v>1936.921</v>
      </c>
      <c r="J51" s="46">
        <v>2646.4989999999998</v>
      </c>
      <c r="K51" s="47">
        <v>2791.1410000000001</v>
      </c>
      <c r="L51" s="46">
        <v>2965.2469999999998</v>
      </c>
      <c r="M51" s="46">
        <v>2958.28</v>
      </c>
      <c r="N51" s="46">
        <v>3082.9270000000001</v>
      </c>
      <c r="O51" s="46">
        <v>3072.0569999999998</v>
      </c>
      <c r="P51" s="44">
        <f t="shared" si="1"/>
        <v>2067.0860000000002</v>
      </c>
      <c r="Q51" s="46">
        <f t="shared" si="2"/>
        <v>3019.6277499999997</v>
      </c>
      <c r="R51" s="47">
        <f t="shared" si="0"/>
        <v>952.54174999999941</v>
      </c>
      <c r="S51" s="138"/>
      <c r="T51" s="138"/>
      <c r="U51" s="138"/>
      <c r="V51" s="138"/>
      <c r="W51" s="138"/>
      <c r="X51" s="138"/>
      <c r="Y51" s="138"/>
      <c r="Z51" s="138"/>
      <c r="AA51" s="49"/>
    </row>
    <row r="52" spans="1:27" s="18" customFormat="1" ht="35.1" customHeight="1">
      <c r="A52" s="60" t="s">
        <v>38</v>
      </c>
      <c r="B52" s="60" t="s">
        <v>25</v>
      </c>
      <c r="C52" s="73" t="s">
        <v>34</v>
      </c>
      <c r="D52" s="60" t="s">
        <v>24</v>
      </c>
      <c r="E52" s="61" t="s">
        <v>27</v>
      </c>
      <c r="F52" s="43">
        <v>5415</v>
      </c>
      <c r="G52" s="46">
        <v>1308.2850000000001</v>
      </c>
      <c r="H52" s="46">
        <v>1154.7760000000001</v>
      </c>
      <c r="I52" s="46">
        <v>1084.4659999999999</v>
      </c>
      <c r="J52" s="46">
        <v>1146.037</v>
      </c>
      <c r="K52" s="47">
        <v>1671.172</v>
      </c>
      <c r="L52" s="46">
        <v>1951.249</v>
      </c>
      <c r="M52" s="46">
        <v>2006.2739999999999</v>
      </c>
      <c r="N52" s="46">
        <v>2093.0160000000001</v>
      </c>
      <c r="O52" s="46">
        <v>2139.25</v>
      </c>
      <c r="P52" s="44">
        <f t="shared" si="1"/>
        <v>1173.3910000000001</v>
      </c>
      <c r="Q52" s="46">
        <f t="shared" si="2"/>
        <v>2047.4472500000002</v>
      </c>
      <c r="R52" s="47">
        <f t="shared" si="0"/>
        <v>874.05625000000009</v>
      </c>
      <c r="S52" s="138"/>
      <c r="T52" s="138"/>
      <c r="U52" s="138"/>
      <c r="V52" s="138"/>
      <c r="W52" s="138"/>
      <c r="X52" s="138"/>
      <c r="Y52" s="138"/>
      <c r="Z52" s="138"/>
      <c r="AA52" s="49"/>
    </row>
    <row r="53" spans="1:27" s="18" customFormat="1" ht="35.1" customHeight="1">
      <c r="A53" s="60" t="s">
        <v>38</v>
      </c>
      <c r="B53" s="60" t="s">
        <v>25</v>
      </c>
      <c r="C53" s="74" t="s">
        <v>35</v>
      </c>
      <c r="D53" s="60" t="s">
        <v>24</v>
      </c>
      <c r="E53" s="61" t="s">
        <v>27</v>
      </c>
      <c r="F53" s="43">
        <v>5030</v>
      </c>
      <c r="G53" s="46">
        <v>1136.5740000000001</v>
      </c>
      <c r="H53" s="46">
        <v>1053.6980000000001</v>
      </c>
      <c r="I53" s="46">
        <v>925.63800000000003</v>
      </c>
      <c r="J53" s="46">
        <v>680.62879999999996</v>
      </c>
      <c r="K53" s="47">
        <v>729.23030000000006</v>
      </c>
      <c r="L53" s="46">
        <v>1083.569</v>
      </c>
      <c r="M53" s="46">
        <v>1246.0070000000001</v>
      </c>
      <c r="N53" s="46">
        <v>1359.3889999999999</v>
      </c>
      <c r="O53" s="46">
        <v>1428.6289999999999</v>
      </c>
      <c r="P53" s="44">
        <f t="shared" si="1"/>
        <v>949.13469999999995</v>
      </c>
      <c r="Q53" s="46">
        <f t="shared" si="2"/>
        <v>1279.3985</v>
      </c>
      <c r="R53" s="47">
        <f t="shared" si="0"/>
        <v>330.26380000000006</v>
      </c>
      <c r="S53" s="138"/>
      <c r="T53" s="138"/>
      <c r="U53" s="138"/>
      <c r="V53" s="138"/>
      <c r="W53" s="138"/>
      <c r="X53" s="138"/>
      <c r="Y53" s="138"/>
      <c r="Z53" s="138"/>
      <c r="AA53" s="49"/>
    </row>
    <row r="54" spans="1:27" s="18" customFormat="1" ht="35.1" customHeight="1">
      <c r="A54" s="60" t="s">
        <v>38</v>
      </c>
      <c r="B54" s="59" t="s">
        <v>29</v>
      </c>
      <c r="C54" s="74" t="s">
        <v>35</v>
      </c>
      <c r="D54" s="60" t="s">
        <v>24</v>
      </c>
      <c r="E54" s="61" t="s">
        <v>27</v>
      </c>
      <c r="F54" s="43">
        <v>1407</v>
      </c>
      <c r="G54" s="46">
        <v>1382.7139999999999</v>
      </c>
      <c r="H54" s="46">
        <v>1321.556</v>
      </c>
      <c r="I54" s="46">
        <v>1164.318</v>
      </c>
      <c r="J54" s="46">
        <v>814.47810000000004</v>
      </c>
      <c r="K54" s="47">
        <v>862.4511</v>
      </c>
      <c r="L54" s="46">
        <v>1304.0730000000001</v>
      </c>
      <c r="M54" s="46">
        <v>1440.1869999999999</v>
      </c>
      <c r="N54" s="46">
        <v>1560.89</v>
      </c>
      <c r="O54" s="46">
        <v>1677.394</v>
      </c>
      <c r="P54" s="46">
        <f t="shared" si="1"/>
        <v>1170.766525</v>
      </c>
      <c r="Q54" s="46">
        <f t="shared" si="2"/>
        <v>1495.6360000000002</v>
      </c>
      <c r="R54" s="47">
        <f t="shared" si="0"/>
        <v>324.86947500000019</v>
      </c>
      <c r="S54" s="138"/>
      <c r="T54" s="138"/>
      <c r="U54" s="138"/>
      <c r="V54" s="23"/>
      <c r="W54" s="23"/>
      <c r="X54" s="23"/>
      <c r="Y54" s="23"/>
      <c r="Z54" s="23"/>
      <c r="AA54" s="24"/>
    </row>
    <row r="55" spans="1:27" s="18" customFormat="1" ht="35.1" customHeight="1">
      <c r="A55" s="60" t="s">
        <v>38</v>
      </c>
      <c r="B55" s="81" t="s">
        <v>30</v>
      </c>
      <c r="C55" s="74" t="s">
        <v>35</v>
      </c>
      <c r="D55" s="60" t="s">
        <v>24</v>
      </c>
      <c r="E55" s="61" t="s">
        <v>27</v>
      </c>
      <c r="F55" s="43">
        <v>1576</v>
      </c>
      <c r="G55" s="46">
        <v>1209.085</v>
      </c>
      <c r="H55" s="46">
        <v>1112.3309999999999</v>
      </c>
      <c r="I55" s="46">
        <v>959.71990000000005</v>
      </c>
      <c r="J55" s="46">
        <v>684.74980000000005</v>
      </c>
      <c r="K55" s="47">
        <v>742.20799999999997</v>
      </c>
      <c r="L55" s="46">
        <v>1138.9860000000001</v>
      </c>
      <c r="M55" s="46">
        <v>1332.825</v>
      </c>
      <c r="N55" s="46">
        <v>1422.5139999999999</v>
      </c>
      <c r="O55" s="46">
        <v>1499.2539999999999</v>
      </c>
      <c r="P55" s="46">
        <f t="shared" si="1"/>
        <v>991.47142500000007</v>
      </c>
      <c r="Q55" s="46">
        <f t="shared" si="2"/>
        <v>1348.3947499999999</v>
      </c>
      <c r="R55" s="47">
        <f t="shared" si="0"/>
        <v>356.92332499999986</v>
      </c>
      <c r="S55" s="138"/>
      <c r="T55" s="138"/>
      <c r="U55" s="138"/>
      <c r="V55" s="23"/>
      <c r="W55" s="23"/>
      <c r="X55" s="23"/>
      <c r="Y55" s="23"/>
      <c r="Z55" s="23"/>
      <c r="AA55" s="24"/>
    </row>
    <row r="56" spans="1:27" s="18" customFormat="1" ht="35.1" customHeight="1">
      <c r="A56" s="60" t="s">
        <v>38</v>
      </c>
      <c r="B56" s="82" t="s">
        <v>31</v>
      </c>
      <c r="C56" s="74" t="s">
        <v>35</v>
      </c>
      <c r="D56" s="60" t="s">
        <v>24</v>
      </c>
      <c r="E56" s="61" t="s">
        <v>27</v>
      </c>
      <c r="F56" s="43">
        <v>1185</v>
      </c>
      <c r="G56" s="46">
        <v>889.01009999999997</v>
      </c>
      <c r="H56" s="46">
        <v>845.50890000000004</v>
      </c>
      <c r="I56" s="46">
        <v>761.94680000000005</v>
      </c>
      <c r="J56" s="46">
        <v>671.74789999999996</v>
      </c>
      <c r="K56" s="47">
        <v>697.97050000000002</v>
      </c>
      <c r="L56" s="46">
        <v>922.45360000000005</v>
      </c>
      <c r="M56" s="46">
        <v>1022.568</v>
      </c>
      <c r="N56" s="46">
        <v>1139.877</v>
      </c>
      <c r="O56" s="46">
        <v>1183.3030000000001</v>
      </c>
      <c r="P56" s="46">
        <f t="shared" si="1"/>
        <v>792.05342499999995</v>
      </c>
      <c r="Q56" s="46">
        <f t="shared" si="2"/>
        <v>1067.0504000000001</v>
      </c>
      <c r="R56" s="47">
        <f t="shared" si="0"/>
        <v>274.99697500000013</v>
      </c>
      <c r="S56" s="138"/>
      <c r="T56" s="138"/>
      <c r="U56" s="138"/>
      <c r="V56" s="31"/>
      <c r="W56" s="31"/>
      <c r="X56" s="31"/>
      <c r="Y56" s="31"/>
      <c r="Z56" s="31"/>
      <c r="AA56" s="32"/>
    </row>
    <row r="57" spans="1:27" s="18" customFormat="1" ht="35.1" customHeight="1">
      <c r="A57" s="60" t="s">
        <v>38</v>
      </c>
      <c r="B57" s="80" t="s">
        <v>32</v>
      </c>
      <c r="C57" s="74" t="s">
        <v>35</v>
      </c>
      <c r="D57" s="60" t="s">
        <v>24</v>
      </c>
      <c r="E57" s="61" t="s">
        <v>27</v>
      </c>
      <c r="F57" s="43">
        <v>862</v>
      </c>
      <c r="G57" s="46">
        <v>942.56759999999997</v>
      </c>
      <c r="H57" s="46">
        <v>795.48850000000004</v>
      </c>
      <c r="I57" s="46">
        <v>698.76850000000002</v>
      </c>
      <c r="J57" s="46">
        <v>466.82760000000002</v>
      </c>
      <c r="K57" s="47">
        <v>531.02629999999999</v>
      </c>
      <c r="L57" s="46">
        <v>843.81669999999997</v>
      </c>
      <c r="M57" s="46">
        <v>1077.4880000000001</v>
      </c>
      <c r="N57" s="46">
        <v>1216.8409999999999</v>
      </c>
      <c r="O57" s="46">
        <v>1230.71</v>
      </c>
      <c r="P57" s="46">
        <f t="shared" si="1"/>
        <v>725.91305</v>
      </c>
      <c r="Q57" s="46">
        <f t="shared" si="2"/>
        <v>1092.213925</v>
      </c>
      <c r="R57" s="47">
        <f t="shared" si="0"/>
        <v>366.30087500000002</v>
      </c>
      <c r="S57" s="138"/>
      <c r="T57" s="138"/>
      <c r="U57" s="138"/>
      <c r="V57" s="36"/>
      <c r="W57" s="36"/>
      <c r="X57" s="36"/>
      <c r="Y57" s="36"/>
      <c r="Z57" s="36"/>
      <c r="AA57" s="19"/>
    </row>
    <row r="58" spans="1:27" s="18" customFormat="1" ht="35.1" customHeight="1">
      <c r="A58" s="60" t="s">
        <v>38</v>
      </c>
      <c r="B58" s="50" t="s">
        <v>25</v>
      </c>
      <c r="C58" s="60" t="s">
        <v>26</v>
      </c>
      <c r="D58" s="77" t="s">
        <v>36</v>
      </c>
      <c r="E58" s="61" t="s">
        <v>27</v>
      </c>
      <c r="F58" s="43">
        <v>15428</v>
      </c>
      <c r="G58" s="46">
        <v>1199.691</v>
      </c>
      <c r="H58" s="46">
        <v>1100.8900000000001</v>
      </c>
      <c r="I58" s="46">
        <v>987.15869999999995</v>
      </c>
      <c r="J58" s="46">
        <v>790.05309999999997</v>
      </c>
      <c r="K58" s="47">
        <v>988.6155</v>
      </c>
      <c r="L58" s="46">
        <v>1331.7239999999999</v>
      </c>
      <c r="M58" s="46">
        <v>1449.104</v>
      </c>
      <c r="N58" s="46">
        <v>1561.16</v>
      </c>
      <c r="O58" s="46">
        <v>1617.3309999999999</v>
      </c>
      <c r="P58" s="44">
        <f t="shared" si="1"/>
        <v>1019.4482</v>
      </c>
      <c r="Q58" s="46">
        <f t="shared" si="2"/>
        <v>1489.8297500000001</v>
      </c>
      <c r="R58" s="47">
        <f t="shared" si="0"/>
        <v>470.38155000000006</v>
      </c>
      <c r="S58" s="140"/>
      <c r="T58" s="138"/>
      <c r="U58" s="138"/>
      <c r="V58" s="31"/>
      <c r="W58" s="31"/>
      <c r="X58" s="31"/>
      <c r="Y58" s="31"/>
      <c r="Z58" s="31"/>
      <c r="AA58" s="32"/>
    </row>
    <row r="59" spans="1:27" s="18" customFormat="1" ht="35.1" customHeight="1">
      <c r="A59" s="60" t="s">
        <v>38</v>
      </c>
      <c r="B59" s="59" t="s">
        <v>29</v>
      </c>
      <c r="C59" s="60" t="s">
        <v>26</v>
      </c>
      <c r="D59" s="77" t="s">
        <v>36</v>
      </c>
      <c r="E59" s="61" t="s">
        <v>27</v>
      </c>
      <c r="F59" s="43">
        <v>3485</v>
      </c>
      <c r="G59" s="46">
        <v>1455.376</v>
      </c>
      <c r="H59" s="46">
        <v>1388.662</v>
      </c>
      <c r="I59" s="46">
        <v>1206.269</v>
      </c>
      <c r="J59" s="46">
        <v>907.10260000000005</v>
      </c>
      <c r="K59" s="47">
        <v>1082.5060000000001</v>
      </c>
      <c r="L59" s="46">
        <v>1544.914</v>
      </c>
      <c r="M59" s="46">
        <v>1644.5719999999999</v>
      </c>
      <c r="N59" s="46">
        <v>1766.6030000000001</v>
      </c>
      <c r="O59" s="46">
        <v>1836.624</v>
      </c>
      <c r="P59" s="46">
        <f t="shared" si="1"/>
        <v>1239.3524</v>
      </c>
      <c r="Q59" s="46">
        <f t="shared" si="2"/>
        <v>1698.1782499999999</v>
      </c>
      <c r="R59" s="47">
        <f t="shared" si="0"/>
        <v>458.82584999999995</v>
      </c>
      <c r="S59" s="138"/>
      <c r="T59" s="138"/>
      <c r="U59" s="138"/>
      <c r="V59" s="36"/>
      <c r="W59" s="36"/>
      <c r="X59" s="36"/>
      <c r="Y59" s="36"/>
      <c r="Z59" s="36"/>
      <c r="AA59" s="19"/>
    </row>
    <row r="60" spans="1:27" s="18" customFormat="1" ht="35.1" customHeight="1">
      <c r="A60" s="60" t="s">
        <v>38</v>
      </c>
      <c r="B60" s="81" t="s">
        <v>30</v>
      </c>
      <c r="C60" s="60" t="s">
        <v>26</v>
      </c>
      <c r="D60" s="77" t="s">
        <v>36</v>
      </c>
      <c r="E60" s="61" t="s">
        <v>27</v>
      </c>
      <c r="F60" s="43">
        <v>3725</v>
      </c>
      <c r="G60" s="174">
        <v>1364.8420000000001</v>
      </c>
      <c r="H60" s="174">
        <v>1247.182</v>
      </c>
      <c r="I60" s="174">
        <v>1094.9480000000001</v>
      </c>
      <c r="J60" s="174">
        <v>810.27059999999994</v>
      </c>
      <c r="K60" s="175">
        <v>982.98850000000004</v>
      </c>
      <c r="L60" s="174">
        <v>1401.652</v>
      </c>
      <c r="M60" s="174">
        <v>1569.828</v>
      </c>
      <c r="N60" s="174">
        <v>1671.7919999999999</v>
      </c>
      <c r="O60" s="174">
        <v>1751.3420000000001</v>
      </c>
      <c r="P60" s="46">
        <f t="shared" si="1"/>
        <v>1129.3106500000001</v>
      </c>
      <c r="Q60" s="46">
        <f t="shared" si="2"/>
        <v>1598.6534999999999</v>
      </c>
      <c r="R60" s="47">
        <f t="shared" si="0"/>
        <v>469.34284999999977</v>
      </c>
      <c r="S60" s="138"/>
      <c r="T60" s="138"/>
      <c r="U60" s="138"/>
      <c r="V60" s="31"/>
      <c r="W60" s="31"/>
      <c r="X60" s="31"/>
      <c r="Y60" s="31"/>
      <c r="Z60" s="31"/>
      <c r="AA60" s="32"/>
    </row>
    <row r="61" spans="1:27" s="18" customFormat="1" ht="35.1" customHeight="1">
      <c r="A61" s="60" t="s">
        <v>38</v>
      </c>
      <c r="B61" s="82" t="s">
        <v>31</v>
      </c>
      <c r="C61" s="60" t="s">
        <v>26</v>
      </c>
      <c r="D61" s="77" t="s">
        <v>36</v>
      </c>
      <c r="E61" s="61" t="s">
        <v>27</v>
      </c>
      <c r="F61" s="43">
        <v>4730</v>
      </c>
      <c r="G61" s="46">
        <v>1030.3340000000001</v>
      </c>
      <c r="H61" s="46">
        <v>940.13419999999996</v>
      </c>
      <c r="I61" s="46">
        <v>872.35850000000005</v>
      </c>
      <c r="J61" s="46">
        <v>772.86860000000001</v>
      </c>
      <c r="K61" s="47">
        <v>986.34130000000005</v>
      </c>
      <c r="L61" s="46">
        <v>1255.5920000000001</v>
      </c>
      <c r="M61" s="46">
        <v>1326.627</v>
      </c>
      <c r="N61" s="46">
        <v>1427.703</v>
      </c>
      <c r="O61" s="46">
        <v>1475.0830000000001</v>
      </c>
      <c r="P61" s="46">
        <f t="shared" si="1"/>
        <v>903.92382500000008</v>
      </c>
      <c r="Q61" s="46">
        <f t="shared" si="2"/>
        <v>1371.25125</v>
      </c>
      <c r="R61" s="47">
        <f t="shared" si="0"/>
        <v>467.32742499999995</v>
      </c>
      <c r="S61" s="138"/>
      <c r="T61" s="138"/>
      <c r="U61" s="138"/>
      <c r="V61" s="36"/>
      <c r="W61" s="36"/>
      <c r="X61" s="36"/>
      <c r="Y61" s="36"/>
      <c r="Z61" s="36"/>
      <c r="AA61" s="19"/>
    </row>
    <row r="62" spans="1:27" s="18" customFormat="1" ht="35.1" customHeight="1">
      <c r="A62" s="60" t="s">
        <v>38</v>
      </c>
      <c r="B62" s="80" t="s">
        <v>32</v>
      </c>
      <c r="C62" s="60" t="s">
        <v>26</v>
      </c>
      <c r="D62" s="77" t="s">
        <v>36</v>
      </c>
      <c r="E62" s="61" t="s">
        <v>27</v>
      </c>
      <c r="F62" s="43">
        <v>3488</v>
      </c>
      <c r="G62" s="46">
        <v>997.51379999999995</v>
      </c>
      <c r="H62" s="46">
        <v>875.12850000000003</v>
      </c>
      <c r="I62" s="46">
        <v>808.80190000000005</v>
      </c>
      <c r="J62" s="46">
        <v>674.81650000000002</v>
      </c>
      <c r="K62" s="47">
        <v>903.89869999999996</v>
      </c>
      <c r="L62" s="46">
        <v>1147.278</v>
      </c>
      <c r="M62" s="46">
        <v>1290.9659999999999</v>
      </c>
      <c r="N62" s="46">
        <v>1418.723</v>
      </c>
      <c r="O62" s="46">
        <v>1448.009</v>
      </c>
      <c r="P62" s="46">
        <f t="shared" si="1"/>
        <v>839.06517499999995</v>
      </c>
      <c r="Q62" s="46">
        <f t="shared" si="2"/>
        <v>1326.2439999999999</v>
      </c>
      <c r="R62" s="47">
        <f t="shared" si="0"/>
        <v>487.17882499999996</v>
      </c>
      <c r="S62" s="138"/>
      <c r="T62" s="138"/>
      <c r="U62" s="138"/>
      <c r="V62" s="23"/>
      <c r="W62" s="23"/>
      <c r="X62" s="23"/>
      <c r="Y62" s="23"/>
      <c r="Z62" s="23"/>
      <c r="AA62" s="24"/>
    </row>
    <row r="63" spans="1:27" s="18" customFormat="1" ht="35.1" customHeight="1">
      <c r="A63" s="60" t="s">
        <v>38</v>
      </c>
      <c r="B63" s="50" t="s">
        <v>25</v>
      </c>
      <c r="C63" s="60" t="s">
        <v>26</v>
      </c>
      <c r="D63" s="78" t="s">
        <v>37</v>
      </c>
      <c r="E63" s="61" t="s">
        <v>27</v>
      </c>
      <c r="F63" s="43">
        <v>3159</v>
      </c>
      <c r="G63" s="46">
        <v>1721.93</v>
      </c>
      <c r="H63" s="46">
        <v>1467.91</v>
      </c>
      <c r="I63" s="46">
        <v>1859.2919999999999</v>
      </c>
      <c r="J63" s="46">
        <v>3289.4520000000002</v>
      </c>
      <c r="K63" s="47">
        <v>3630.268</v>
      </c>
      <c r="L63" s="46">
        <v>3441.8220000000001</v>
      </c>
      <c r="M63" s="46">
        <v>3348.7060000000001</v>
      </c>
      <c r="N63" s="46">
        <v>3397.8009999999999</v>
      </c>
      <c r="O63" s="46">
        <v>3335.0819999999999</v>
      </c>
      <c r="P63" s="44">
        <f t="shared" si="1"/>
        <v>2084.6459999999997</v>
      </c>
      <c r="Q63" s="46">
        <f t="shared" si="2"/>
        <v>3380.85275</v>
      </c>
      <c r="R63" s="47">
        <f t="shared" si="0"/>
        <v>1296.2067500000003</v>
      </c>
      <c r="S63" s="138"/>
      <c r="T63" s="138"/>
      <c r="U63" s="138"/>
      <c r="V63" s="138"/>
      <c r="W63" s="138"/>
      <c r="X63" s="138"/>
      <c r="Y63" s="138"/>
      <c r="Z63" s="138"/>
      <c r="AA63" s="49"/>
    </row>
    <row r="64" spans="1:27" s="18" customFormat="1" ht="35.1" customHeight="1">
      <c r="A64" s="60" t="s">
        <v>38</v>
      </c>
      <c r="B64" s="59" t="s">
        <v>29</v>
      </c>
      <c r="C64" s="60" t="s">
        <v>26</v>
      </c>
      <c r="D64" s="78" t="s">
        <v>37</v>
      </c>
      <c r="E64" s="61" t="s">
        <v>27</v>
      </c>
      <c r="F64" s="43">
        <v>764</v>
      </c>
      <c r="G64" s="46">
        <v>2054.59</v>
      </c>
      <c r="H64" s="46">
        <v>1650.9690000000001</v>
      </c>
      <c r="I64" s="46">
        <v>1895.39</v>
      </c>
      <c r="J64" s="46">
        <v>3395.7150000000001</v>
      </c>
      <c r="K64" s="46">
        <v>3815.3440000000001</v>
      </c>
      <c r="L64" s="46">
        <v>3709.9079999999999</v>
      </c>
      <c r="M64" s="46">
        <v>3534.5149999999999</v>
      </c>
      <c r="N64" s="46">
        <v>3589.3020000000001</v>
      </c>
      <c r="O64" s="46">
        <v>3480.3789999999999</v>
      </c>
      <c r="P64" s="46">
        <f t="shared" si="1"/>
        <v>2249.1660000000002</v>
      </c>
      <c r="Q64" s="46">
        <f t="shared" si="2"/>
        <v>3578.5259999999998</v>
      </c>
      <c r="R64" s="46">
        <f t="shared" si="0"/>
        <v>1329.3599999999997</v>
      </c>
      <c r="S64" s="138"/>
      <c r="T64" s="138"/>
      <c r="U64" s="138"/>
      <c r="V64" s="23"/>
      <c r="W64" s="23"/>
      <c r="X64" s="23"/>
      <c r="Y64" s="23"/>
      <c r="Z64" s="23"/>
    </row>
    <row r="65" spans="1:27" s="18" customFormat="1" ht="35.1" customHeight="1">
      <c r="A65" s="60" t="s">
        <v>38</v>
      </c>
      <c r="B65" s="81" t="s">
        <v>30</v>
      </c>
      <c r="C65" s="60" t="s">
        <v>26</v>
      </c>
      <c r="D65" s="78" t="s">
        <v>37</v>
      </c>
      <c r="E65" s="61" t="s">
        <v>27</v>
      </c>
      <c r="F65" s="43">
        <v>720</v>
      </c>
      <c r="G65" s="46">
        <v>1682.837</v>
      </c>
      <c r="H65" s="46">
        <v>1500.893</v>
      </c>
      <c r="I65" s="46">
        <v>1798.52</v>
      </c>
      <c r="J65" s="46">
        <v>3231.21</v>
      </c>
      <c r="K65" s="46">
        <v>3643.3240000000001</v>
      </c>
      <c r="L65" s="46">
        <v>3536.7930000000001</v>
      </c>
      <c r="M65" s="46">
        <v>3488.2890000000002</v>
      </c>
      <c r="N65" s="46">
        <v>3615.2330000000002</v>
      </c>
      <c r="O65" s="46">
        <v>3435.799</v>
      </c>
      <c r="P65" s="46">
        <f t="shared" si="1"/>
        <v>2053.3649999999998</v>
      </c>
      <c r="Q65" s="46">
        <f t="shared" si="2"/>
        <v>3519.0285000000003</v>
      </c>
      <c r="R65" s="46">
        <f t="shared" si="0"/>
        <v>1465.6635000000006</v>
      </c>
      <c r="S65" s="138"/>
      <c r="T65" s="138"/>
      <c r="U65" s="138"/>
      <c r="V65" s="23"/>
      <c r="W65" s="23"/>
      <c r="X65" s="23"/>
      <c r="Y65" s="23"/>
      <c r="Z65" s="23"/>
    </row>
    <row r="66" spans="1:27" s="18" customFormat="1" ht="35.1" customHeight="1">
      <c r="A66" s="60" t="s">
        <v>38</v>
      </c>
      <c r="B66" s="82" t="s">
        <v>31</v>
      </c>
      <c r="C66" s="60" t="s">
        <v>26</v>
      </c>
      <c r="D66" s="78" t="s">
        <v>37</v>
      </c>
      <c r="E66" s="61" t="s">
        <v>27</v>
      </c>
      <c r="F66" s="43">
        <v>926</v>
      </c>
      <c r="G66" s="46">
        <v>1530.4929999999999</v>
      </c>
      <c r="H66" s="46">
        <v>1404.2529999999999</v>
      </c>
      <c r="I66" s="46">
        <v>1905.8979999999999</v>
      </c>
      <c r="J66" s="46">
        <v>3280.886</v>
      </c>
      <c r="K66" s="46">
        <v>3585.17</v>
      </c>
      <c r="L66" s="46">
        <v>3362.6509999999998</v>
      </c>
      <c r="M66" s="46">
        <v>3277.8490000000002</v>
      </c>
      <c r="N66" s="46">
        <v>3299.527</v>
      </c>
      <c r="O66" s="46">
        <v>3342.4879999999998</v>
      </c>
      <c r="P66" s="46">
        <f t="shared" si="1"/>
        <v>2030.3825000000002</v>
      </c>
      <c r="Q66" s="46">
        <f t="shared" si="2"/>
        <v>3320.6287499999999</v>
      </c>
      <c r="R66" s="46">
        <f t="shared" ref="R66:R67" si="3">Q66-P66</f>
        <v>1290.2462499999997</v>
      </c>
      <c r="S66" s="138"/>
      <c r="T66" s="138"/>
      <c r="U66" s="138"/>
      <c r="V66" s="23"/>
      <c r="W66" s="23"/>
      <c r="X66" s="23"/>
      <c r="Y66" s="23"/>
      <c r="Z66" s="23"/>
    </row>
    <row r="67" spans="1:27" s="18" customFormat="1" ht="35.1" customHeight="1">
      <c r="A67" s="60" t="s">
        <v>38</v>
      </c>
      <c r="B67" s="80" t="s">
        <v>32</v>
      </c>
      <c r="C67" s="60" t="s">
        <v>26</v>
      </c>
      <c r="D67" s="78" t="s">
        <v>37</v>
      </c>
      <c r="E67" s="61" t="s">
        <v>27</v>
      </c>
      <c r="F67" s="43">
        <v>749</v>
      </c>
      <c r="G67" s="46">
        <v>1656.8610000000001</v>
      </c>
      <c r="H67" s="46">
        <v>1328.1780000000001</v>
      </c>
      <c r="I67" s="46">
        <v>1823.2719999999999</v>
      </c>
      <c r="J67" s="46">
        <v>3247.6379999999999</v>
      </c>
      <c r="K67" s="46">
        <v>3484.6930000000002</v>
      </c>
      <c r="L67" s="46">
        <v>3174.9520000000002</v>
      </c>
      <c r="M67" s="46">
        <v>3112.5990000000002</v>
      </c>
      <c r="N67" s="46">
        <v>3114.951</v>
      </c>
      <c r="O67" s="46">
        <v>3080.8989999999999</v>
      </c>
      <c r="P67" s="46">
        <f t="shared" si="1"/>
        <v>2013.9872499999999</v>
      </c>
      <c r="Q67" s="46">
        <f t="shared" si="2"/>
        <v>3120.85025</v>
      </c>
      <c r="R67" s="46">
        <f t="shared" si="3"/>
        <v>1106.8630000000001</v>
      </c>
      <c r="S67" s="138"/>
      <c r="T67" s="138"/>
      <c r="U67" s="138"/>
      <c r="V67" s="23"/>
      <c r="W67" s="23"/>
      <c r="X67" s="23"/>
      <c r="Y67" s="23"/>
      <c r="Z67" s="23"/>
    </row>
    <row r="68" spans="1:27" s="18" customFormat="1" ht="35.1" customHeight="1">
      <c r="A68" s="52" t="s">
        <v>38</v>
      </c>
      <c r="B68" s="51" t="s">
        <v>25</v>
      </c>
      <c r="C68" s="52" t="s">
        <v>26</v>
      </c>
      <c r="D68" s="52" t="s">
        <v>24</v>
      </c>
      <c r="E68" s="65" t="s">
        <v>28</v>
      </c>
      <c r="F68" s="137">
        <v>18587</v>
      </c>
      <c r="G68" s="169">
        <v>0</v>
      </c>
      <c r="H68" s="169">
        <v>0</v>
      </c>
      <c r="I68" s="169">
        <v>0</v>
      </c>
      <c r="J68" s="169">
        <v>0</v>
      </c>
      <c r="K68" s="170">
        <v>165.45</v>
      </c>
      <c r="L68" s="169">
        <v>171</v>
      </c>
      <c r="M68" s="169">
        <v>210</v>
      </c>
      <c r="N68" s="169">
        <v>263.63</v>
      </c>
      <c r="O68" s="169">
        <v>217.36</v>
      </c>
      <c r="P68" s="169"/>
      <c r="Q68" s="171"/>
      <c r="R68" s="172"/>
      <c r="S68" s="173"/>
      <c r="T68" s="139"/>
      <c r="U68" s="139"/>
      <c r="V68" s="15"/>
      <c r="W68" s="15"/>
      <c r="X68" s="15"/>
      <c r="Y68" s="15"/>
      <c r="Z68" s="16"/>
      <c r="AA68" s="17"/>
    </row>
    <row r="69" spans="1:27" s="18" customFormat="1" ht="35.1" customHeight="1">
      <c r="A69" s="60" t="s">
        <v>38</v>
      </c>
      <c r="B69" s="59" t="s">
        <v>29</v>
      </c>
      <c r="C69" s="60" t="s">
        <v>26</v>
      </c>
      <c r="D69" s="60" t="s">
        <v>24</v>
      </c>
      <c r="E69" s="65" t="s">
        <v>28</v>
      </c>
      <c r="F69" s="43">
        <v>4249</v>
      </c>
      <c r="G69" s="46">
        <v>72</v>
      </c>
      <c r="H69" s="46">
        <v>15.22</v>
      </c>
      <c r="I69" s="46">
        <v>56.19</v>
      </c>
      <c r="J69" s="46">
        <v>161.52000000000001</v>
      </c>
      <c r="K69" s="47">
        <v>446.4</v>
      </c>
      <c r="L69" s="46">
        <v>594</v>
      </c>
      <c r="M69" s="46">
        <v>609.32000000000005</v>
      </c>
      <c r="N69" s="46">
        <v>604.82000000000005</v>
      </c>
      <c r="O69" s="46">
        <v>574.91</v>
      </c>
      <c r="P69" s="44"/>
      <c r="Q69" s="46"/>
      <c r="R69" s="47"/>
      <c r="S69" s="138"/>
      <c r="T69" s="138"/>
      <c r="U69" s="138"/>
      <c r="V69" s="36"/>
      <c r="W69" s="36"/>
      <c r="X69" s="36"/>
      <c r="Y69" s="36"/>
      <c r="Z69" s="37"/>
      <c r="AA69" s="19"/>
    </row>
    <row r="70" spans="1:27" s="18" customFormat="1" ht="35.1" customHeight="1">
      <c r="A70" s="60" t="s">
        <v>38</v>
      </c>
      <c r="B70" s="81" t="s">
        <v>30</v>
      </c>
      <c r="C70" s="60" t="s">
        <v>26</v>
      </c>
      <c r="D70" s="60" t="s">
        <v>24</v>
      </c>
      <c r="E70" s="65" t="s">
        <v>28</v>
      </c>
      <c r="F70" s="43">
        <v>4445</v>
      </c>
      <c r="G70" s="46">
        <v>0</v>
      </c>
      <c r="H70" s="46">
        <v>0</v>
      </c>
      <c r="I70" s="46">
        <v>0</v>
      </c>
      <c r="J70" s="46">
        <v>0</v>
      </c>
      <c r="K70" s="47">
        <v>134.96</v>
      </c>
      <c r="L70" s="46">
        <v>227.5</v>
      </c>
      <c r="M70" s="46">
        <v>327.14</v>
      </c>
      <c r="N70" s="46">
        <v>440.58</v>
      </c>
      <c r="O70" s="46">
        <v>483.77</v>
      </c>
      <c r="P70" s="44"/>
      <c r="Q70" s="46"/>
      <c r="R70" s="47"/>
      <c r="S70" s="138"/>
      <c r="T70" s="138"/>
      <c r="U70" s="138"/>
      <c r="V70" s="23"/>
      <c r="W70" s="23"/>
      <c r="X70" s="23"/>
      <c r="Y70" s="23"/>
      <c r="Z70" s="23"/>
      <c r="AA70" s="24"/>
    </row>
    <row r="71" spans="1:27" s="18" customFormat="1" ht="35.1" customHeight="1">
      <c r="A71" s="60" t="s">
        <v>38</v>
      </c>
      <c r="B71" s="82" t="s">
        <v>31</v>
      </c>
      <c r="C71" s="60" t="s">
        <v>26</v>
      </c>
      <c r="D71" s="60" t="s">
        <v>24</v>
      </c>
      <c r="E71" s="65" t="s">
        <v>28</v>
      </c>
      <c r="F71" s="43">
        <v>5656</v>
      </c>
      <c r="G71" s="46">
        <v>0</v>
      </c>
      <c r="H71" s="46">
        <v>0</v>
      </c>
      <c r="I71" s="46">
        <v>0</v>
      </c>
      <c r="J71" s="46">
        <v>0</v>
      </c>
      <c r="K71" s="47">
        <v>104.795</v>
      </c>
      <c r="L71" s="46">
        <v>36.75</v>
      </c>
      <c r="M71" s="46">
        <v>49.104999999999997</v>
      </c>
      <c r="N71" s="46">
        <v>50.1</v>
      </c>
      <c r="O71" s="46">
        <v>25.695</v>
      </c>
      <c r="P71" s="44"/>
      <c r="Q71" s="46"/>
      <c r="R71" s="47"/>
      <c r="S71" s="138"/>
      <c r="T71" s="138"/>
      <c r="U71" s="138"/>
      <c r="V71" s="23"/>
      <c r="W71" s="23"/>
      <c r="X71" s="23"/>
      <c r="Y71" s="23"/>
      <c r="Z71" s="23"/>
      <c r="AA71" s="24"/>
    </row>
    <row r="72" spans="1:27" s="18" customFormat="1" ht="35.1" customHeight="1">
      <c r="A72" s="60" t="s">
        <v>38</v>
      </c>
      <c r="B72" s="80" t="s">
        <v>32</v>
      </c>
      <c r="C72" s="60" t="s">
        <v>26</v>
      </c>
      <c r="D72" s="60" t="s">
        <v>24</v>
      </c>
      <c r="E72" s="65" t="s">
        <v>28</v>
      </c>
      <c r="F72" s="43">
        <v>4237</v>
      </c>
      <c r="G72" s="46">
        <v>0</v>
      </c>
      <c r="H72" s="46">
        <v>0</v>
      </c>
      <c r="I72" s="46">
        <v>0</v>
      </c>
      <c r="J72" s="46">
        <v>0</v>
      </c>
      <c r="K72" s="47">
        <v>32.630000000000003</v>
      </c>
      <c r="L72" s="46">
        <v>0</v>
      </c>
      <c r="M72" s="46">
        <v>20</v>
      </c>
      <c r="N72" s="46">
        <v>60.61</v>
      </c>
      <c r="O72" s="46">
        <v>0</v>
      </c>
      <c r="P72" s="44"/>
      <c r="Q72" s="46"/>
      <c r="R72" s="47"/>
      <c r="S72" s="138"/>
      <c r="T72" s="138"/>
      <c r="U72" s="138"/>
      <c r="V72" s="23"/>
      <c r="W72" s="23"/>
      <c r="X72" s="23"/>
      <c r="Y72" s="23"/>
      <c r="Z72" s="23"/>
      <c r="AA72" s="24"/>
    </row>
    <row r="73" spans="1:27" s="18" customFormat="1" ht="35.1" customHeight="1">
      <c r="A73" s="60" t="s">
        <v>38</v>
      </c>
      <c r="B73" s="60" t="s">
        <v>25</v>
      </c>
      <c r="C73" s="71" t="s">
        <v>33</v>
      </c>
      <c r="D73" s="60" t="s">
        <v>24</v>
      </c>
      <c r="E73" s="65" t="s">
        <v>28</v>
      </c>
      <c r="F73" s="43">
        <v>3721</v>
      </c>
      <c r="G73" s="46">
        <v>489.01</v>
      </c>
      <c r="H73" s="46">
        <v>441.6</v>
      </c>
      <c r="I73" s="46">
        <v>1377.69</v>
      </c>
      <c r="J73" s="46">
        <v>2504.75</v>
      </c>
      <c r="K73" s="47">
        <v>2664</v>
      </c>
      <c r="L73" s="46">
        <v>2844</v>
      </c>
      <c r="M73" s="46">
        <v>2738.25</v>
      </c>
      <c r="N73" s="46">
        <v>2827.22</v>
      </c>
      <c r="O73" s="46">
        <v>2837.18</v>
      </c>
      <c r="P73" s="44"/>
      <c r="Q73" s="46"/>
      <c r="R73" s="47"/>
      <c r="S73" s="138"/>
      <c r="T73" s="138"/>
      <c r="U73" s="138"/>
      <c r="V73" s="138"/>
      <c r="W73" s="138"/>
      <c r="X73" s="138"/>
      <c r="Y73" s="138"/>
      <c r="Z73" s="138"/>
      <c r="AA73" s="49"/>
    </row>
    <row r="74" spans="1:27" s="18" customFormat="1" ht="35.1" customHeight="1">
      <c r="A74" s="60" t="s">
        <v>38</v>
      </c>
      <c r="B74" s="60" t="s">
        <v>25</v>
      </c>
      <c r="C74" s="73" t="s">
        <v>34</v>
      </c>
      <c r="D74" s="60" t="s">
        <v>24</v>
      </c>
      <c r="E74" s="65" t="s">
        <v>28</v>
      </c>
      <c r="F74" s="43">
        <v>5415</v>
      </c>
      <c r="G74" s="46">
        <v>0</v>
      </c>
      <c r="H74" s="46">
        <v>0</v>
      </c>
      <c r="I74" s="46">
        <v>0</v>
      </c>
      <c r="J74" s="46">
        <v>125.57</v>
      </c>
      <c r="K74" s="47">
        <v>806.4</v>
      </c>
      <c r="L74" s="46">
        <v>859</v>
      </c>
      <c r="M74" s="46">
        <v>775</v>
      </c>
      <c r="N74" s="46">
        <v>830.73</v>
      </c>
      <c r="O74" s="46">
        <v>738.05</v>
      </c>
      <c r="P74" s="44"/>
      <c r="Q74" s="46"/>
      <c r="R74" s="47"/>
      <c r="S74" s="138"/>
      <c r="T74" s="138"/>
      <c r="U74" s="138"/>
      <c r="V74" s="138"/>
      <c r="W74" s="138"/>
      <c r="X74" s="138"/>
      <c r="Y74" s="138"/>
      <c r="Z74" s="138"/>
      <c r="AA74" s="49"/>
    </row>
    <row r="75" spans="1:27" s="18" customFormat="1" ht="35.1" customHeight="1">
      <c r="A75" s="60" t="s">
        <v>38</v>
      </c>
      <c r="B75" s="60" t="s">
        <v>25</v>
      </c>
      <c r="C75" s="74" t="s">
        <v>35</v>
      </c>
      <c r="D75" s="60" t="s">
        <v>24</v>
      </c>
      <c r="E75" s="65" t="s">
        <v>28</v>
      </c>
      <c r="F75" s="43">
        <v>5030</v>
      </c>
      <c r="G75" s="46">
        <v>0</v>
      </c>
      <c r="H75" s="46">
        <v>0</v>
      </c>
      <c r="I75" s="46">
        <v>0</v>
      </c>
      <c r="J75" s="46">
        <v>0</v>
      </c>
      <c r="K75" s="47">
        <v>0</v>
      </c>
      <c r="L75" s="46">
        <v>0</v>
      </c>
      <c r="M75" s="46">
        <v>0</v>
      </c>
      <c r="N75" s="46">
        <v>0</v>
      </c>
      <c r="O75" s="46">
        <v>0</v>
      </c>
      <c r="P75" s="44"/>
      <c r="Q75" s="46"/>
      <c r="R75" s="47"/>
      <c r="S75" s="138"/>
      <c r="T75" s="138"/>
      <c r="U75" s="138"/>
      <c r="V75" s="138"/>
      <c r="W75" s="138"/>
      <c r="X75" s="138"/>
      <c r="Y75" s="138"/>
      <c r="Z75" s="138"/>
      <c r="AA75" s="49"/>
    </row>
    <row r="76" spans="1:27" s="18" customFormat="1" ht="35.1" customHeight="1">
      <c r="A76" s="60" t="s">
        <v>38</v>
      </c>
      <c r="B76" s="59" t="s">
        <v>29</v>
      </c>
      <c r="C76" s="74" t="s">
        <v>35</v>
      </c>
      <c r="D76" s="60" t="s">
        <v>24</v>
      </c>
      <c r="E76" s="65" t="s">
        <v>28</v>
      </c>
      <c r="F76" s="43">
        <v>1407</v>
      </c>
      <c r="G76" s="46">
        <v>0</v>
      </c>
      <c r="H76" s="46">
        <v>0</v>
      </c>
      <c r="I76" s="46">
        <v>0</v>
      </c>
      <c r="J76" s="46">
        <v>0</v>
      </c>
      <c r="K76" s="47">
        <v>0</v>
      </c>
      <c r="L76" s="46">
        <v>0</v>
      </c>
      <c r="M76" s="46">
        <v>0</v>
      </c>
      <c r="N76" s="46">
        <v>75</v>
      </c>
      <c r="O76" s="46">
        <v>94.24</v>
      </c>
      <c r="P76" s="46"/>
      <c r="Q76" s="46"/>
      <c r="R76" s="47"/>
      <c r="S76" s="138"/>
      <c r="T76" s="138"/>
      <c r="U76" s="138"/>
      <c r="V76" s="23"/>
      <c r="W76" s="23"/>
      <c r="X76" s="23"/>
      <c r="Y76" s="23"/>
      <c r="Z76" s="23"/>
      <c r="AA76" s="24"/>
    </row>
    <row r="77" spans="1:27" s="18" customFormat="1" ht="35.1" customHeight="1">
      <c r="A77" s="60" t="s">
        <v>38</v>
      </c>
      <c r="B77" s="81" t="s">
        <v>30</v>
      </c>
      <c r="C77" s="74" t="s">
        <v>35</v>
      </c>
      <c r="D77" s="60" t="s">
        <v>24</v>
      </c>
      <c r="E77" s="65" t="s">
        <v>28</v>
      </c>
      <c r="F77" s="43">
        <v>1576</v>
      </c>
      <c r="G77" s="46">
        <v>0</v>
      </c>
      <c r="H77" s="46">
        <v>0</v>
      </c>
      <c r="I77" s="46">
        <v>0</v>
      </c>
      <c r="J77" s="46">
        <v>0</v>
      </c>
      <c r="K77" s="47">
        <v>0</v>
      </c>
      <c r="L77" s="46">
        <v>0</v>
      </c>
      <c r="M77" s="46">
        <v>0</v>
      </c>
      <c r="N77" s="46">
        <v>0</v>
      </c>
      <c r="O77" s="46">
        <v>0</v>
      </c>
      <c r="P77" s="46"/>
      <c r="Q77" s="46"/>
      <c r="R77" s="47"/>
      <c r="S77" s="138"/>
      <c r="T77" s="138"/>
      <c r="U77" s="138"/>
      <c r="V77" s="23"/>
      <c r="W77" s="23"/>
      <c r="X77" s="23"/>
      <c r="Y77" s="23"/>
      <c r="Z77" s="23"/>
      <c r="AA77" s="24"/>
    </row>
    <row r="78" spans="1:27" s="18" customFormat="1" ht="35.1" customHeight="1">
      <c r="A78" s="60" t="s">
        <v>38</v>
      </c>
      <c r="B78" s="82" t="s">
        <v>31</v>
      </c>
      <c r="C78" s="74" t="s">
        <v>35</v>
      </c>
      <c r="D78" s="60" t="s">
        <v>24</v>
      </c>
      <c r="E78" s="65" t="s">
        <v>28</v>
      </c>
      <c r="F78" s="43">
        <v>1185</v>
      </c>
      <c r="G78" s="46">
        <v>0</v>
      </c>
      <c r="H78" s="46">
        <v>0</v>
      </c>
      <c r="I78" s="46">
        <v>0</v>
      </c>
      <c r="J78" s="46">
        <v>0</v>
      </c>
      <c r="K78" s="47">
        <v>0</v>
      </c>
      <c r="L78" s="46">
        <v>0</v>
      </c>
      <c r="M78" s="46">
        <v>0</v>
      </c>
      <c r="N78" s="46">
        <v>0</v>
      </c>
      <c r="O78" s="46">
        <v>0</v>
      </c>
      <c r="P78" s="46"/>
      <c r="Q78" s="46"/>
      <c r="R78" s="47"/>
      <c r="S78" s="138"/>
      <c r="T78" s="138"/>
      <c r="U78" s="138"/>
      <c r="V78" s="31"/>
      <c r="W78" s="31"/>
      <c r="X78" s="31"/>
      <c r="Y78" s="31"/>
      <c r="Z78" s="31"/>
      <c r="AA78" s="32"/>
    </row>
    <row r="79" spans="1:27" s="18" customFormat="1" ht="35.1" customHeight="1">
      <c r="A79" s="60" t="s">
        <v>38</v>
      </c>
      <c r="B79" s="80" t="s">
        <v>32</v>
      </c>
      <c r="C79" s="74" t="s">
        <v>35</v>
      </c>
      <c r="D79" s="60" t="s">
        <v>24</v>
      </c>
      <c r="E79" s="65" t="s">
        <v>28</v>
      </c>
      <c r="F79" s="43">
        <v>862</v>
      </c>
      <c r="G79" s="46">
        <v>0</v>
      </c>
      <c r="H79" s="46">
        <v>0</v>
      </c>
      <c r="I79" s="46">
        <v>0</v>
      </c>
      <c r="J79" s="46">
        <v>0</v>
      </c>
      <c r="K79" s="47">
        <v>0</v>
      </c>
      <c r="L79" s="46">
        <v>0</v>
      </c>
      <c r="M79" s="46">
        <v>0</v>
      </c>
      <c r="N79" s="46">
        <v>0</v>
      </c>
      <c r="O79" s="46">
        <v>0</v>
      </c>
      <c r="P79" s="46"/>
      <c r="Q79" s="46"/>
      <c r="R79" s="47"/>
      <c r="S79" s="138"/>
      <c r="T79" s="138"/>
      <c r="U79" s="138"/>
      <c r="V79" s="36"/>
      <c r="W79" s="36"/>
      <c r="X79" s="36"/>
      <c r="Y79" s="36"/>
      <c r="Z79" s="36"/>
      <c r="AA79" s="19"/>
    </row>
    <row r="80" spans="1:27" s="18" customFormat="1" ht="35.1" customHeight="1">
      <c r="A80" s="60" t="s">
        <v>38</v>
      </c>
      <c r="B80" s="50" t="s">
        <v>25</v>
      </c>
      <c r="C80" s="60" t="s">
        <v>26</v>
      </c>
      <c r="D80" s="77" t="s">
        <v>36</v>
      </c>
      <c r="E80" s="65" t="s">
        <v>28</v>
      </c>
      <c r="F80" s="43">
        <v>15428</v>
      </c>
      <c r="G80" s="46">
        <v>0</v>
      </c>
      <c r="H80" s="46">
        <v>0</v>
      </c>
      <c r="I80" s="46">
        <v>0</v>
      </c>
      <c r="J80" s="46">
        <v>0</v>
      </c>
      <c r="K80" s="47">
        <v>0</v>
      </c>
      <c r="L80" s="46">
        <v>0</v>
      </c>
      <c r="M80" s="46">
        <v>0</v>
      </c>
      <c r="N80" s="46">
        <v>0</v>
      </c>
      <c r="O80" s="46">
        <v>0</v>
      </c>
      <c r="P80" s="44"/>
      <c r="Q80" s="46"/>
      <c r="R80" s="47"/>
      <c r="S80" s="140"/>
      <c r="T80" s="138"/>
      <c r="U80" s="138"/>
      <c r="V80" s="31"/>
      <c r="W80" s="31"/>
      <c r="X80" s="31"/>
      <c r="Y80" s="31"/>
      <c r="Z80" s="31"/>
      <c r="AA80" s="32"/>
    </row>
    <row r="81" spans="1:27" s="18" customFormat="1" ht="35.1" customHeight="1">
      <c r="A81" s="60" t="s">
        <v>38</v>
      </c>
      <c r="B81" s="59" t="s">
        <v>29</v>
      </c>
      <c r="C81" s="60" t="s">
        <v>26</v>
      </c>
      <c r="D81" s="77" t="s">
        <v>36</v>
      </c>
      <c r="E81" s="65" t="s">
        <v>28</v>
      </c>
      <c r="F81" s="43">
        <v>3485</v>
      </c>
      <c r="G81" s="46">
        <v>0</v>
      </c>
      <c r="H81" s="46">
        <v>0</v>
      </c>
      <c r="I81" s="46">
        <v>0</v>
      </c>
      <c r="J81" s="46">
        <v>0</v>
      </c>
      <c r="K81" s="47">
        <v>58.5</v>
      </c>
      <c r="L81" s="46">
        <v>94.68</v>
      </c>
      <c r="M81" s="46">
        <v>111.99</v>
      </c>
      <c r="N81" s="46">
        <v>183.74</v>
      </c>
      <c r="O81" s="46">
        <v>170.35</v>
      </c>
      <c r="P81" s="46"/>
      <c r="Q81" s="46"/>
      <c r="R81" s="47"/>
      <c r="S81" s="138"/>
      <c r="T81" s="138"/>
      <c r="U81" s="138"/>
      <c r="V81" s="36"/>
      <c r="W81" s="36"/>
      <c r="X81" s="36"/>
      <c r="Y81" s="36"/>
      <c r="Z81" s="36"/>
      <c r="AA81" s="19"/>
    </row>
    <row r="82" spans="1:27" s="18" customFormat="1" ht="35.1" customHeight="1">
      <c r="A82" s="60" t="s">
        <v>38</v>
      </c>
      <c r="B82" s="81" t="s">
        <v>30</v>
      </c>
      <c r="C82" s="60" t="s">
        <v>26</v>
      </c>
      <c r="D82" s="77" t="s">
        <v>36</v>
      </c>
      <c r="E82" s="65" t="s">
        <v>28</v>
      </c>
      <c r="F82" s="43">
        <v>3725</v>
      </c>
      <c r="G82" s="174">
        <v>0</v>
      </c>
      <c r="H82" s="174">
        <v>0</v>
      </c>
      <c r="I82" s="174">
        <v>0</v>
      </c>
      <c r="J82" s="174">
        <v>0</v>
      </c>
      <c r="K82" s="175">
        <v>0</v>
      </c>
      <c r="L82" s="174">
        <v>0</v>
      </c>
      <c r="M82" s="174">
        <v>0</v>
      </c>
      <c r="N82" s="174">
        <v>81.38</v>
      </c>
      <c r="O82" s="174">
        <v>96.75</v>
      </c>
      <c r="P82" s="46"/>
      <c r="Q82" s="46"/>
      <c r="R82" s="47"/>
      <c r="S82" s="138"/>
      <c r="T82" s="138"/>
      <c r="U82" s="138"/>
      <c r="V82" s="31"/>
      <c r="W82" s="31"/>
      <c r="X82" s="31"/>
      <c r="Y82" s="31"/>
      <c r="Z82" s="31"/>
      <c r="AA82" s="32"/>
    </row>
    <row r="83" spans="1:27" s="18" customFormat="1" ht="35.1" customHeight="1">
      <c r="A83" s="60" t="s">
        <v>38</v>
      </c>
      <c r="B83" s="82" t="s">
        <v>31</v>
      </c>
      <c r="C83" s="60" t="s">
        <v>26</v>
      </c>
      <c r="D83" s="77" t="s">
        <v>36</v>
      </c>
      <c r="E83" s="65" t="s">
        <v>28</v>
      </c>
      <c r="F83" s="43">
        <v>4730</v>
      </c>
      <c r="G83" s="46">
        <v>0</v>
      </c>
      <c r="H83" s="46">
        <v>0</v>
      </c>
      <c r="I83" s="46">
        <v>0</v>
      </c>
      <c r="J83" s="46">
        <v>0</v>
      </c>
      <c r="K83" s="47">
        <v>0</v>
      </c>
      <c r="L83" s="46">
        <v>0</v>
      </c>
      <c r="M83" s="46">
        <v>0</v>
      </c>
      <c r="N83" s="46">
        <v>0</v>
      </c>
      <c r="O83" s="46">
        <v>0</v>
      </c>
      <c r="P83" s="46"/>
      <c r="Q83" s="46"/>
      <c r="R83" s="47"/>
      <c r="S83" s="138"/>
      <c r="T83" s="138"/>
      <c r="U83" s="138"/>
      <c r="V83" s="36"/>
      <c r="W83" s="36"/>
      <c r="X83" s="36"/>
      <c r="Y83" s="36"/>
      <c r="Z83" s="36"/>
      <c r="AA83" s="19"/>
    </row>
    <row r="84" spans="1:27" s="18" customFormat="1" ht="35.1" customHeight="1">
      <c r="A84" s="60" t="s">
        <v>38</v>
      </c>
      <c r="B84" s="80" t="s">
        <v>32</v>
      </c>
      <c r="C84" s="60" t="s">
        <v>26</v>
      </c>
      <c r="D84" s="77" t="s">
        <v>36</v>
      </c>
      <c r="E84" s="65" t="s">
        <v>28</v>
      </c>
      <c r="F84" s="43">
        <v>3488</v>
      </c>
      <c r="G84" s="46">
        <v>0</v>
      </c>
      <c r="H84" s="46">
        <v>0</v>
      </c>
      <c r="I84" s="46">
        <v>0</v>
      </c>
      <c r="J84" s="46">
        <v>0</v>
      </c>
      <c r="K84" s="47">
        <v>0</v>
      </c>
      <c r="L84" s="46">
        <v>0</v>
      </c>
      <c r="M84" s="46">
        <v>0</v>
      </c>
      <c r="N84" s="46">
        <v>0</v>
      </c>
      <c r="O84" s="46">
        <v>0</v>
      </c>
      <c r="P84" s="46"/>
      <c r="Q84" s="46"/>
      <c r="R84" s="47"/>
      <c r="S84" s="138"/>
      <c r="T84" s="138"/>
      <c r="U84" s="138"/>
      <c r="V84" s="23"/>
      <c r="W84" s="23"/>
      <c r="X84" s="23"/>
      <c r="Y84" s="23"/>
      <c r="Z84" s="23"/>
      <c r="AA84" s="24"/>
    </row>
    <row r="85" spans="1:27" s="18" customFormat="1" ht="35.1" customHeight="1">
      <c r="A85" s="60" t="s">
        <v>38</v>
      </c>
      <c r="B85" s="50" t="s">
        <v>25</v>
      </c>
      <c r="C85" s="60" t="s">
        <v>26</v>
      </c>
      <c r="D85" s="78" t="s">
        <v>37</v>
      </c>
      <c r="E85" s="65" t="s">
        <v>28</v>
      </c>
      <c r="F85" s="43">
        <v>3159</v>
      </c>
      <c r="G85" s="46">
        <v>373.38</v>
      </c>
      <c r="H85" s="46">
        <v>339.75</v>
      </c>
      <c r="I85" s="46">
        <v>1506.3</v>
      </c>
      <c r="J85" s="46">
        <v>3224.3</v>
      </c>
      <c r="K85" s="47">
        <v>3568.11</v>
      </c>
      <c r="L85" s="46">
        <v>3443.94</v>
      </c>
      <c r="M85" s="46">
        <v>3284.41</v>
      </c>
      <c r="N85" s="46">
        <v>3337.58</v>
      </c>
      <c r="O85" s="46">
        <v>3273.38</v>
      </c>
      <c r="P85" s="44"/>
      <c r="Q85" s="46"/>
      <c r="R85" s="47"/>
      <c r="S85" s="138"/>
      <c r="T85" s="138"/>
      <c r="U85" s="138"/>
      <c r="V85" s="138"/>
      <c r="W85" s="138"/>
      <c r="X85" s="138"/>
      <c r="Y85" s="138"/>
      <c r="Z85" s="138"/>
      <c r="AA85" s="49"/>
    </row>
    <row r="86" spans="1:27" s="18" customFormat="1" ht="35.1" customHeight="1">
      <c r="A86" s="60" t="s">
        <v>38</v>
      </c>
      <c r="B86" s="59" t="s">
        <v>29</v>
      </c>
      <c r="C86" s="60" t="s">
        <v>26</v>
      </c>
      <c r="D86" s="78" t="s">
        <v>37</v>
      </c>
      <c r="E86" s="65" t="s">
        <v>28</v>
      </c>
      <c r="F86" s="43">
        <v>764</v>
      </c>
      <c r="G86" s="46">
        <v>804.255</v>
      </c>
      <c r="H86" s="46">
        <v>336.72</v>
      </c>
      <c r="I86" s="46">
        <v>1487.4349999999999</v>
      </c>
      <c r="J86" s="46">
        <v>3324.6750000000002</v>
      </c>
      <c r="K86" s="46">
        <v>3783.6849999999999</v>
      </c>
      <c r="L86" s="46">
        <v>3657.835</v>
      </c>
      <c r="M86" s="46">
        <v>3342.4349999999999</v>
      </c>
      <c r="N86" s="46">
        <v>3562.2350000000001</v>
      </c>
      <c r="O86" s="46">
        <v>3331.02</v>
      </c>
      <c r="P86" s="46"/>
      <c r="Q86" s="46"/>
      <c r="R86" s="46"/>
      <c r="S86" s="138"/>
      <c r="T86" s="138"/>
      <c r="U86" s="138"/>
      <c r="V86" s="23"/>
      <c r="W86" s="23"/>
      <c r="X86" s="23"/>
      <c r="Y86" s="23"/>
      <c r="Z86" s="23"/>
    </row>
    <row r="87" spans="1:27" s="18" customFormat="1" ht="35.1" customHeight="1">
      <c r="A87" s="60" t="s">
        <v>38</v>
      </c>
      <c r="B87" s="81" t="s">
        <v>30</v>
      </c>
      <c r="C87" s="60" t="s">
        <v>26</v>
      </c>
      <c r="D87" s="78" t="s">
        <v>37</v>
      </c>
      <c r="E87" s="65" t="s">
        <v>28</v>
      </c>
      <c r="F87" s="43">
        <v>720</v>
      </c>
      <c r="G87" s="46">
        <v>262.56</v>
      </c>
      <c r="H87" s="46">
        <v>480.92</v>
      </c>
      <c r="I87" s="46">
        <v>1429.55</v>
      </c>
      <c r="J87" s="46">
        <v>3213.0650000000001</v>
      </c>
      <c r="K87" s="46">
        <v>3560.65</v>
      </c>
      <c r="L87" s="46">
        <v>3497.12</v>
      </c>
      <c r="M87" s="46">
        <v>3445.38</v>
      </c>
      <c r="N87" s="46">
        <v>3557.4050000000002</v>
      </c>
      <c r="O87" s="46">
        <v>3517.2049999999999</v>
      </c>
      <c r="P87" s="46"/>
      <c r="Q87" s="46"/>
      <c r="R87" s="46"/>
      <c r="S87" s="138"/>
      <c r="T87" s="138"/>
      <c r="U87" s="138"/>
      <c r="V87" s="23"/>
      <c r="W87" s="23"/>
      <c r="X87" s="23"/>
      <c r="Y87" s="23"/>
      <c r="Z87" s="23"/>
    </row>
    <row r="88" spans="1:27" s="18" customFormat="1" ht="35.1" customHeight="1">
      <c r="A88" s="60" t="s">
        <v>38</v>
      </c>
      <c r="B88" s="82" t="s">
        <v>31</v>
      </c>
      <c r="C88" s="60" t="s">
        <v>26</v>
      </c>
      <c r="D88" s="78" t="s">
        <v>37</v>
      </c>
      <c r="E88" s="65" t="s">
        <v>28</v>
      </c>
      <c r="F88" s="43">
        <v>926</v>
      </c>
      <c r="G88" s="46">
        <v>124.08</v>
      </c>
      <c r="H88" s="46">
        <v>301.34500000000003</v>
      </c>
      <c r="I88" s="46">
        <v>1581.93</v>
      </c>
      <c r="J88" s="46">
        <v>3228.68</v>
      </c>
      <c r="K88" s="46">
        <v>3510.89</v>
      </c>
      <c r="L88" s="46">
        <v>3428.21</v>
      </c>
      <c r="M88" s="46">
        <v>3238.355</v>
      </c>
      <c r="N88" s="46">
        <v>3284.8850000000002</v>
      </c>
      <c r="O88" s="46">
        <v>3284.9850000000001</v>
      </c>
      <c r="P88" s="46"/>
      <c r="Q88" s="46"/>
      <c r="R88" s="46"/>
      <c r="S88" s="138"/>
      <c r="T88" s="138"/>
      <c r="U88" s="138"/>
      <c r="V88" s="23"/>
      <c r="W88" s="23"/>
      <c r="X88" s="23"/>
      <c r="Y88" s="23"/>
      <c r="Z88" s="23"/>
    </row>
    <row r="89" spans="1:27" s="18" customFormat="1" ht="35.1" customHeight="1">
      <c r="A89" s="60" t="s">
        <v>38</v>
      </c>
      <c r="B89" s="80" t="s">
        <v>32</v>
      </c>
      <c r="C89" s="60" t="s">
        <v>26</v>
      </c>
      <c r="D89" s="78" t="s">
        <v>37</v>
      </c>
      <c r="E89" s="65" t="s">
        <v>28</v>
      </c>
      <c r="F89" s="43">
        <v>749</v>
      </c>
      <c r="G89" s="46">
        <v>347.42</v>
      </c>
      <c r="H89" s="46">
        <v>272.06</v>
      </c>
      <c r="I89" s="46">
        <v>1461.88</v>
      </c>
      <c r="J89" s="46">
        <v>3198.07</v>
      </c>
      <c r="K89" s="46">
        <v>3498.23</v>
      </c>
      <c r="L89" s="46">
        <v>3269.3</v>
      </c>
      <c r="M89" s="46">
        <v>3072.66</v>
      </c>
      <c r="N89" s="46">
        <v>2939.03</v>
      </c>
      <c r="O89" s="46">
        <v>2947.41</v>
      </c>
      <c r="P89" s="46"/>
      <c r="Q89" s="46"/>
      <c r="R89" s="46"/>
      <c r="S89" s="138"/>
      <c r="T89" s="138"/>
      <c r="U89" s="138"/>
      <c r="V89" s="23"/>
      <c r="W89" s="23"/>
      <c r="X89" s="23"/>
      <c r="Y89" s="23"/>
      <c r="Z89" s="23"/>
    </row>
  </sheetData>
  <autoFilter ref="A1:R45"/>
  <sortState ref="A2:R45">
    <sortCondition ref="D2:D45"/>
    <sortCondition ref="C2:C45"/>
    <sortCondition descending="1" ref="B2:B45"/>
  </sortState>
  <phoneticPr fontId="3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filterMode="1">
    <tabColor rgb="FFFF0000"/>
  </sheetPr>
  <dimension ref="A1:AA89"/>
  <sheetViews>
    <sheetView workbookViewId="0">
      <pane xSplit="5" ySplit="1" topLeftCell="F8" activePane="bottomRight" state="frozen"/>
      <selection pane="topRight" activeCell="F1" sqref="F1"/>
      <selection pane="bottomLeft" activeCell="A2" sqref="A2"/>
      <selection pane="bottomRight" activeCell="P13" sqref="A1:AA89"/>
    </sheetView>
  </sheetViews>
  <sheetFormatPr defaultRowHeight="15"/>
  <cols>
    <col min="1" max="5" width="9" style="83"/>
    <col min="16" max="16" width="18" customWidth="1"/>
    <col min="17" max="17" width="17" customWidth="1"/>
  </cols>
  <sheetData>
    <row r="1" spans="1:18" s="8" customFormat="1" ht="38.25">
      <c r="A1" s="52" t="s">
        <v>7</v>
      </c>
      <c r="B1" s="52" t="s">
        <v>8</v>
      </c>
      <c r="C1" s="52" t="s">
        <v>9</v>
      </c>
      <c r="D1" s="52" t="s">
        <v>10</v>
      </c>
      <c r="E1" s="52" t="s">
        <v>11</v>
      </c>
      <c r="F1" s="126" t="s">
        <v>12</v>
      </c>
      <c r="G1" s="127" t="s">
        <v>13</v>
      </c>
      <c r="H1" s="127" t="s">
        <v>14</v>
      </c>
      <c r="I1" s="127" t="s">
        <v>15</v>
      </c>
      <c r="J1" s="127" t="s">
        <v>16</v>
      </c>
      <c r="K1" s="128" t="s">
        <v>17</v>
      </c>
      <c r="L1" s="127" t="s">
        <v>18</v>
      </c>
      <c r="M1" s="127" t="s">
        <v>19</v>
      </c>
      <c r="N1" s="127" t="s">
        <v>20</v>
      </c>
      <c r="O1" s="127" t="s">
        <v>21</v>
      </c>
      <c r="P1" s="129" t="s">
        <v>22</v>
      </c>
      <c r="Q1" s="130" t="s">
        <v>23</v>
      </c>
      <c r="R1" s="131"/>
    </row>
    <row r="2" spans="1:18" s="18" customFormat="1" ht="30" customHeight="1">
      <c r="A2" s="50" t="s">
        <v>24</v>
      </c>
      <c r="B2" s="51" t="s">
        <v>25</v>
      </c>
      <c r="C2" s="52" t="s">
        <v>26</v>
      </c>
      <c r="D2" s="52" t="s">
        <v>24</v>
      </c>
      <c r="E2" s="53" t="s">
        <v>27</v>
      </c>
      <c r="F2" s="21">
        <v>22505</v>
      </c>
      <c r="G2" s="54">
        <v>1536.712</v>
      </c>
      <c r="H2" s="54">
        <v>1399.74</v>
      </c>
      <c r="I2" s="54">
        <v>1372.547</v>
      </c>
      <c r="J2" s="54">
        <v>1471.9090000000001</v>
      </c>
      <c r="K2" s="54">
        <v>1718.15</v>
      </c>
      <c r="L2" s="54">
        <v>1997.6890000000001</v>
      </c>
      <c r="M2" s="54">
        <v>2096.723</v>
      </c>
      <c r="N2" s="54">
        <v>2197.5450000000001</v>
      </c>
      <c r="O2" s="54">
        <v>2239.087</v>
      </c>
      <c r="P2" s="54">
        <v>5780.9089999999997</v>
      </c>
      <c r="Q2" s="184">
        <v>8531.0429999999997</v>
      </c>
      <c r="R2" s="54">
        <f>Q2-P2</f>
        <v>2750.134</v>
      </c>
    </row>
    <row r="3" spans="1:18" s="18" customFormat="1" ht="30" customHeight="1">
      <c r="A3" s="50" t="s">
        <v>24</v>
      </c>
      <c r="B3" s="51" t="s">
        <v>25</v>
      </c>
      <c r="C3" s="52" t="s">
        <v>26</v>
      </c>
      <c r="D3" s="52" t="s">
        <v>24</v>
      </c>
      <c r="E3" s="79" t="s">
        <v>28</v>
      </c>
      <c r="F3" s="43">
        <v>22505</v>
      </c>
      <c r="G3" s="44">
        <v>0</v>
      </c>
      <c r="H3" s="44">
        <v>0</v>
      </c>
      <c r="I3" s="44">
        <v>0</v>
      </c>
      <c r="J3" s="44">
        <v>98.18056</v>
      </c>
      <c r="K3" s="185">
        <v>364.93079999999998</v>
      </c>
      <c r="L3" s="44">
        <v>417.1585</v>
      </c>
      <c r="M3" s="44">
        <v>481.33190000000002</v>
      </c>
      <c r="N3" s="44">
        <v>523.1105</v>
      </c>
      <c r="O3" s="44">
        <v>506.47809999999998</v>
      </c>
      <c r="P3" s="46">
        <v>2665.8829999999998</v>
      </c>
      <c r="Q3" s="184">
        <v>4339.3509999999997</v>
      </c>
      <c r="R3" s="54">
        <f t="shared" ref="R3:R45" si="0">Q3-P3</f>
        <v>1673.4679999999998</v>
      </c>
    </row>
    <row r="4" spans="1:18" s="18" customFormat="1" ht="30" customHeight="1">
      <c r="A4" s="50" t="s">
        <v>24</v>
      </c>
      <c r="B4" s="59" t="s">
        <v>29</v>
      </c>
      <c r="C4" s="60" t="s">
        <v>26</v>
      </c>
      <c r="D4" s="60" t="s">
        <v>24</v>
      </c>
      <c r="E4" s="61" t="s">
        <v>27</v>
      </c>
      <c r="F4" s="57">
        <v>5149</v>
      </c>
      <c r="G4" s="54">
        <v>1815.144</v>
      </c>
      <c r="H4" s="54">
        <v>1672.885</v>
      </c>
      <c r="I4" s="54">
        <v>1547.652</v>
      </c>
      <c r="J4" s="54">
        <v>1579.9169999999999</v>
      </c>
      <c r="K4" s="54">
        <v>1844.633</v>
      </c>
      <c r="L4" s="54">
        <v>2256.0889999999999</v>
      </c>
      <c r="M4" s="54">
        <v>2318.7040000000002</v>
      </c>
      <c r="N4" s="54">
        <v>2414.6779999999999</v>
      </c>
      <c r="O4" s="54">
        <v>2437.4319999999998</v>
      </c>
      <c r="P4" s="54">
        <v>6615.5990000000002</v>
      </c>
      <c r="Q4" s="54">
        <v>9426.9030000000002</v>
      </c>
      <c r="R4" s="54">
        <f t="shared" si="0"/>
        <v>2811.3040000000001</v>
      </c>
    </row>
    <row r="5" spans="1:18" s="18" customFormat="1" ht="30" customHeight="1">
      <c r="A5" s="50" t="s">
        <v>24</v>
      </c>
      <c r="B5" s="59" t="s">
        <v>29</v>
      </c>
      <c r="C5" s="60" t="s">
        <v>26</v>
      </c>
      <c r="D5" s="60" t="s">
        <v>24</v>
      </c>
      <c r="E5" s="65" t="s">
        <v>28</v>
      </c>
      <c r="F5" s="57">
        <v>5149</v>
      </c>
      <c r="G5" s="54">
        <v>153.51779999999999</v>
      </c>
      <c r="H5" s="54">
        <v>108.4318</v>
      </c>
      <c r="I5" s="54">
        <v>208.316</v>
      </c>
      <c r="J5" s="54">
        <v>306.46640000000002</v>
      </c>
      <c r="K5" s="54">
        <v>631.19399999999996</v>
      </c>
      <c r="L5" s="54">
        <v>911.41200000000003</v>
      </c>
      <c r="M5" s="54">
        <v>889.25459999999998</v>
      </c>
      <c r="N5" s="54">
        <v>857.48680000000002</v>
      </c>
      <c r="O5" s="54">
        <v>856.44</v>
      </c>
      <c r="P5" s="54">
        <v>3696.2280000000001</v>
      </c>
      <c r="Q5" s="54">
        <v>5569.74</v>
      </c>
      <c r="R5" s="54">
        <f t="shared" si="0"/>
        <v>1873.5119999999997</v>
      </c>
    </row>
    <row r="6" spans="1:18" s="18" customFormat="1" ht="30" customHeight="1">
      <c r="A6" s="50" t="s">
        <v>24</v>
      </c>
      <c r="B6" s="81" t="s">
        <v>30</v>
      </c>
      <c r="C6" s="60" t="s">
        <v>26</v>
      </c>
      <c r="D6" s="60" t="s">
        <v>24</v>
      </c>
      <c r="E6" s="61" t="s">
        <v>27</v>
      </c>
      <c r="F6" s="57">
        <v>5365</v>
      </c>
      <c r="G6" s="54">
        <v>1655.8920000000001</v>
      </c>
      <c r="H6" s="54">
        <v>1490.588</v>
      </c>
      <c r="I6" s="54">
        <v>1407.7049999999999</v>
      </c>
      <c r="J6" s="54">
        <v>1424.8</v>
      </c>
      <c r="K6" s="54">
        <v>1657.123</v>
      </c>
      <c r="L6" s="54">
        <v>2029.768</v>
      </c>
      <c r="M6" s="54">
        <v>2175.6370000000002</v>
      </c>
      <c r="N6" s="54">
        <v>2270.7469999999998</v>
      </c>
      <c r="O6" s="54">
        <v>2333.4850000000001</v>
      </c>
      <c r="P6" s="54">
        <v>5978.9849999999997</v>
      </c>
      <c r="Q6" s="54">
        <v>8809.6360000000004</v>
      </c>
      <c r="R6" s="54">
        <f t="shared" si="0"/>
        <v>2830.6510000000007</v>
      </c>
    </row>
    <row r="7" spans="1:18" s="18" customFormat="1" ht="30" customHeight="1">
      <c r="A7" s="50" t="s">
        <v>24</v>
      </c>
      <c r="B7" s="81" t="s">
        <v>30</v>
      </c>
      <c r="C7" s="60" t="s">
        <v>26</v>
      </c>
      <c r="D7" s="60" t="s">
        <v>24</v>
      </c>
      <c r="E7" s="65" t="s">
        <v>28</v>
      </c>
      <c r="F7" s="57">
        <v>5365</v>
      </c>
      <c r="G7" s="54">
        <v>0</v>
      </c>
      <c r="H7" s="54">
        <v>0</v>
      </c>
      <c r="I7" s="54">
        <v>0</v>
      </c>
      <c r="J7" s="54">
        <v>45.32685</v>
      </c>
      <c r="K7" s="54">
        <v>305.25310000000002</v>
      </c>
      <c r="L7" s="54">
        <v>408.63209999999998</v>
      </c>
      <c r="M7" s="54">
        <v>560.71770000000004</v>
      </c>
      <c r="N7" s="54">
        <v>652.62890000000004</v>
      </c>
      <c r="O7" s="54">
        <v>731.30129999999997</v>
      </c>
      <c r="P7" s="54">
        <v>2769.5920000000001</v>
      </c>
      <c r="Q7" s="54">
        <v>4678.848</v>
      </c>
      <c r="R7" s="54">
        <f t="shared" si="0"/>
        <v>1909.2559999999999</v>
      </c>
    </row>
    <row r="8" spans="1:18" s="18" customFormat="1" ht="30" customHeight="1">
      <c r="A8" s="50" t="s">
        <v>24</v>
      </c>
      <c r="B8" s="82" t="s">
        <v>31</v>
      </c>
      <c r="C8" s="60" t="s">
        <v>26</v>
      </c>
      <c r="D8" s="60" t="s">
        <v>24</v>
      </c>
      <c r="E8" s="61" t="s">
        <v>27</v>
      </c>
      <c r="F8" s="57">
        <v>6814</v>
      </c>
      <c r="G8" s="54">
        <v>1366.0050000000001</v>
      </c>
      <c r="H8" s="54">
        <v>1239.1659999999999</v>
      </c>
      <c r="I8" s="54">
        <v>1283.3679999999999</v>
      </c>
      <c r="J8" s="54">
        <v>1439.3</v>
      </c>
      <c r="K8" s="54">
        <v>1692.6130000000001</v>
      </c>
      <c r="L8" s="54">
        <v>1895.479</v>
      </c>
      <c r="M8" s="54">
        <v>1946.32</v>
      </c>
      <c r="N8" s="54">
        <v>2043.6969999999999</v>
      </c>
      <c r="O8" s="54">
        <v>2116.4409999999998</v>
      </c>
      <c r="P8" s="54">
        <v>5327.8379999999997</v>
      </c>
      <c r="Q8" s="54">
        <v>8001.9369999999999</v>
      </c>
      <c r="R8" s="54">
        <f t="shared" si="0"/>
        <v>2674.0990000000002</v>
      </c>
    </row>
    <row r="9" spans="1:18" s="55" customFormat="1" ht="30" customHeight="1">
      <c r="A9" s="50" t="s">
        <v>24</v>
      </c>
      <c r="B9" s="82" t="s">
        <v>31</v>
      </c>
      <c r="C9" s="60" t="s">
        <v>26</v>
      </c>
      <c r="D9" s="60" t="s">
        <v>24</v>
      </c>
      <c r="E9" s="65" t="s">
        <v>28</v>
      </c>
      <c r="F9" s="57">
        <v>6814</v>
      </c>
      <c r="G9" s="54">
        <v>0</v>
      </c>
      <c r="H9" s="54">
        <v>0</v>
      </c>
      <c r="I9" s="54">
        <v>0</v>
      </c>
      <c r="J9" s="54">
        <v>72.155879999999996</v>
      </c>
      <c r="K9" s="54">
        <v>289.32400000000001</v>
      </c>
      <c r="L9" s="54">
        <v>249.6377</v>
      </c>
      <c r="M9" s="54">
        <v>272.28750000000002</v>
      </c>
      <c r="N9" s="54">
        <v>293.5942</v>
      </c>
      <c r="O9" s="54">
        <v>274.27949999999998</v>
      </c>
      <c r="P9" s="54">
        <v>2296.1329999999998</v>
      </c>
      <c r="Q9" s="54">
        <v>3674.924</v>
      </c>
      <c r="R9" s="54">
        <f t="shared" si="0"/>
        <v>1378.7910000000002</v>
      </c>
    </row>
    <row r="10" spans="1:18" s="18" customFormat="1" ht="30" customHeight="1">
      <c r="A10" s="50" t="s">
        <v>24</v>
      </c>
      <c r="B10" s="80" t="s">
        <v>32</v>
      </c>
      <c r="C10" s="60" t="s">
        <v>26</v>
      </c>
      <c r="D10" s="60" t="s">
        <v>24</v>
      </c>
      <c r="E10" s="61" t="s">
        <v>27</v>
      </c>
      <c r="F10" s="57">
        <v>5177</v>
      </c>
      <c r="G10" s="54">
        <v>1360.963</v>
      </c>
      <c r="H10" s="54">
        <v>1245.2760000000001</v>
      </c>
      <c r="I10" s="54">
        <v>1279.3320000000001</v>
      </c>
      <c r="J10" s="54">
        <v>1456.2270000000001</v>
      </c>
      <c r="K10" s="54">
        <v>1689.2070000000001</v>
      </c>
      <c r="L10" s="54">
        <v>1841.97</v>
      </c>
      <c r="M10" s="54">
        <v>1992.123</v>
      </c>
      <c r="N10" s="54">
        <v>2108.2220000000002</v>
      </c>
      <c r="O10" s="54">
        <v>2105.4169999999999</v>
      </c>
      <c r="P10" s="54">
        <v>5341.7979999999998</v>
      </c>
      <c r="Q10" s="54">
        <v>8047.732</v>
      </c>
      <c r="R10" s="54">
        <f t="shared" si="0"/>
        <v>2705.9340000000002</v>
      </c>
    </row>
    <row r="11" spans="1:18" s="18" customFormat="1" ht="30" customHeight="1">
      <c r="A11" s="50" t="s">
        <v>24</v>
      </c>
      <c r="B11" s="80" t="s">
        <v>32</v>
      </c>
      <c r="C11" s="60" t="s">
        <v>26</v>
      </c>
      <c r="D11" s="60" t="s">
        <v>24</v>
      </c>
      <c r="E11" s="65" t="s">
        <v>28</v>
      </c>
      <c r="F11" s="57">
        <v>5177</v>
      </c>
      <c r="G11" s="54">
        <v>0</v>
      </c>
      <c r="H11" s="54">
        <v>0</v>
      </c>
      <c r="I11" s="54">
        <v>0</v>
      </c>
      <c r="J11" s="54">
        <v>19.433350000000001</v>
      </c>
      <c r="K11" s="54">
        <v>216.87010000000001</v>
      </c>
      <c r="L11" s="54">
        <v>201.57429999999999</v>
      </c>
      <c r="M11" s="54">
        <v>316.49680000000001</v>
      </c>
      <c r="N11" s="54">
        <v>343.97280000000001</v>
      </c>
      <c r="O11" s="54">
        <v>257.59750000000003</v>
      </c>
      <c r="P11" s="54">
        <v>2226.212</v>
      </c>
      <c r="Q11" s="54">
        <v>3760.0929999999998</v>
      </c>
      <c r="R11" s="54">
        <f t="shared" si="0"/>
        <v>1533.8809999999999</v>
      </c>
    </row>
    <row r="12" spans="1:18" s="18" customFormat="1" ht="30" customHeight="1">
      <c r="A12" s="50" t="s">
        <v>24</v>
      </c>
      <c r="B12" s="60" t="s">
        <v>25</v>
      </c>
      <c r="C12" s="71" t="s">
        <v>33</v>
      </c>
      <c r="D12" s="60" t="s">
        <v>24</v>
      </c>
      <c r="E12" s="61" t="s">
        <v>27</v>
      </c>
      <c r="F12" s="21">
        <v>4757</v>
      </c>
      <c r="G12" s="54">
        <v>2282.7689999999998</v>
      </c>
      <c r="H12" s="54">
        <v>2014.269</v>
      </c>
      <c r="I12" s="54">
        <v>2281.8809999999999</v>
      </c>
      <c r="J12" s="54">
        <v>3109.6239999999998</v>
      </c>
      <c r="K12" s="54">
        <v>3268.7849999999999</v>
      </c>
      <c r="L12" s="54">
        <v>3430.951</v>
      </c>
      <c r="M12" s="54">
        <v>3444.7280000000001</v>
      </c>
      <c r="N12" s="54">
        <v>3585.0320000000002</v>
      </c>
      <c r="O12" s="54">
        <v>3548.3679999999999</v>
      </c>
      <c r="P12" s="54">
        <v>9688.5419999999995</v>
      </c>
      <c r="Q12" s="54">
        <v>14009.08</v>
      </c>
      <c r="R12" s="54">
        <f t="shared" si="0"/>
        <v>4320.5380000000005</v>
      </c>
    </row>
    <row r="13" spans="1:18" s="18" customFormat="1" ht="30" customHeight="1">
      <c r="A13" s="50" t="s">
        <v>24</v>
      </c>
      <c r="B13" s="60" t="s">
        <v>25</v>
      </c>
      <c r="C13" s="71" t="s">
        <v>33</v>
      </c>
      <c r="D13" s="60" t="s">
        <v>24</v>
      </c>
      <c r="E13" s="65" t="s">
        <v>28</v>
      </c>
      <c r="F13" s="21">
        <v>4757</v>
      </c>
      <c r="G13" s="54">
        <v>704.33879999999999</v>
      </c>
      <c r="H13" s="54">
        <v>628.28089999999997</v>
      </c>
      <c r="I13" s="54">
        <v>1657.808</v>
      </c>
      <c r="J13" s="54">
        <v>2888.43</v>
      </c>
      <c r="K13" s="54">
        <v>3027.797</v>
      </c>
      <c r="L13" s="54">
        <v>3233.93</v>
      </c>
      <c r="M13" s="54">
        <v>3142.799</v>
      </c>
      <c r="N13" s="54">
        <v>3244.2649999999999</v>
      </c>
      <c r="O13" s="54">
        <v>3170.721</v>
      </c>
      <c r="P13" s="54">
        <v>8032.92</v>
      </c>
      <c r="Q13" s="54">
        <v>12638.58</v>
      </c>
      <c r="R13" s="54">
        <f t="shared" si="0"/>
        <v>4605.66</v>
      </c>
    </row>
    <row r="14" spans="1:18" s="18" customFormat="1" ht="30" customHeight="1">
      <c r="A14" s="50" t="s">
        <v>24</v>
      </c>
      <c r="B14" s="60" t="s">
        <v>25</v>
      </c>
      <c r="C14" s="73" t="s">
        <v>34</v>
      </c>
      <c r="D14" s="60" t="s">
        <v>24</v>
      </c>
      <c r="E14" s="61" t="s">
        <v>27</v>
      </c>
      <c r="F14" s="21">
        <v>6635</v>
      </c>
      <c r="G14" s="54">
        <v>1544.6130000000001</v>
      </c>
      <c r="H14" s="54">
        <v>1399.81</v>
      </c>
      <c r="I14" s="54">
        <v>1326.1420000000001</v>
      </c>
      <c r="J14" s="54">
        <v>1372.7840000000001</v>
      </c>
      <c r="K14" s="54">
        <v>1965.598</v>
      </c>
      <c r="L14" s="54">
        <v>2295.9</v>
      </c>
      <c r="M14" s="54">
        <v>2354.5100000000002</v>
      </c>
      <c r="N14" s="54">
        <v>2435.319</v>
      </c>
      <c r="O14" s="54">
        <v>2497.319</v>
      </c>
      <c r="P14" s="54">
        <v>5643.3490000000002</v>
      </c>
      <c r="Q14" s="54">
        <v>9583.0470000000005</v>
      </c>
      <c r="R14" s="54">
        <f t="shared" si="0"/>
        <v>3939.6980000000003</v>
      </c>
    </row>
    <row r="15" spans="1:18" s="55" customFormat="1" ht="30" customHeight="1">
      <c r="A15" s="50" t="s">
        <v>24</v>
      </c>
      <c r="B15" s="60" t="s">
        <v>25</v>
      </c>
      <c r="C15" s="73" t="s">
        <v>34</v>
      </c>
      <c r="D15" s="60" t="s">
        <v>24</v>
      </c>
      <c r="E15" s="65" t="s">
        <v>28</v>
      </c>
      <c r="F15" s="21">
        <v>6635</v>
      </c>
      <c r="G15" s="54">
        <v>0</v>
      </c>
      <c r="H15" s="54">
        <v>0</v>
      </c>
      <c r="I15" s="54">
        <v>0</v>
      </c>
      <c r="J15" s="54">
        <v>273.59289999999999</v>
      </c>
      <c r="K15" s="54">
        <v>1059.384</v>
      </c>
      <c r="L15" s="54">
        <v>1180.7950000000001</v>
      </c>
      <c r="M15" s="54">
        <v>1107.8720000000001</v>
      </c>
      <c r="N15" s="54">
        <v>1156.9929999999999</v>
      </c>
      <c r="O15" s="54">
        <v>1147.6289999999999</v>
      </c>
      <c r="P15" s="54">
        <v>2787.4760000000001</v>
      </c>
      <c r="Q15" s="54">
        <v>6198.009</v>
      </c>
      <c r="R15" s="54">
        <f t="shared" si="0"/>
        <v>3410.5329999999999</v>
      </c>
    </row>
    <row r="16" spans="1:18" s="18" customFormat="1" ht="30" customHeight="1">
      <c r="A16" s="50" t="s">
        <v>24</v>
      </c>
      <c r="B16" s="60" t="s">
        <v>25</v>
      </c>
      <c r="C16" s="74" t="s">
        <v>35</v>
      </c>
      <c r="D16" s="60" t="s">
        <v>24</v>
      </c>
      <c r="E16" s="61" t="s">
        <v>27</v>
      </c>
      <c r="F16" s="21">
        <v>6090</v>
      </c>
      <c r="G16" s="54">
        <v>1383.2670000000001</v>
      </c>
      <c r="H16" s="54">
        <v>1285.8150000000001</v>
      </c>
      <c r="I16" s="54">
        <v>1111.8389999999999</v>
      </c>
      <c r="J16" s="54">
        <v>826.49779999999998</v>
      </c>
      <c r="K16" s="54">
        <v>889.55190000000005</v>
      </c>
      <c r="L16" s="54">
        <v>1288.807</v>
      </c>
      <c r="M16" s="54">
        <v>1489.164</v>
      </c>
      <c r="N16" s="54">
        <v>1585.0440000000001</v>
      </c>
      <c r="O16" s="54">
        <v>1664.508</v>
      </c>
      <c r="P16" s="54">
        <v>4607.4189999999999</v>
      </c>
      <c r="Q16" s="54">
        <v>6027.5230000000001</v>
      </c>
      <c r="R16" s="54">
        <f t="shared" si="0"/>
        <v>1420.1040000000003</v>
      </c>
    </row>
    <row r="17" spans="1:18" s="18" customFormat="1" ht="30" customHeight="1">
      <c r="A17" s="50" t="s">
        <v>24</v>
      </c>
      <c r="B17" s="60" t="s">
        <v>25</v>
      </c>
      <c r="C17" s="74" t="s">
        <v>35</v>
      </c>
      <c r="D17" s="60" t="s">
        <v>24</v>
      </c>
      <c r="E17" s="65" t="s">
        <v>28</v>
      </c>
      <c r="F17" s="21">
        <v>6090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1397.461</v>
      </c>
      <c r="Q17" s="54">
        <v>2220.433</v>
      </c>
      <c r="R17" s="54">
        <f t="shared" si="0"/>
        <v>822.97199999999998</v>
      </c>
    </row>
    <row r="18" spans="1:18" s="55" customFormat="1" ht="30" customHeight="1">
      <c r="A18" s="50" t="s">
        <v>24</v>
      </c>
      <c r="B18" s="59" t="s">
        <v>29</v>
      </c>
      <c r="C18" s="74" t="s">
        <v>35</v>
      </c>
      <c r="D18" s="60" t="s">
        <v>24</v>
      </c>
      <c r="E18" s="61" t="s">
        <v>27</v>
      </c>
      <c r="F18" s="21">
        <v>1695</v>
      </c>
      <c r="G18" s="54">
        <v>1634.529</v>
      </c>
      <c r="H18" s="54">
        <v>1546.62</v>
      </c>
      <c r="I18" s="54">
        <v>1341.8330000000001</v>
      </c>
      <c r="J18" s="54">
        <v>959.81979999999999</v>
      </c>
      <c r="K18" s="54">
        <v>1022.627</v>
      </c>
      <c r="L18" s="54">
        <v>1529.6389999999999</v>
      </c>
      <c r="M18" s="54">
        <v>1695.4390000000001</v>
      </c>
      <c r="N18" s="54">
        <v>1795.7239999999999</v>
      </c>
      <c r="O18" s="54">
        <v>1898.731</v>
      </c>
      <c r="P18" s="54">
        <v>5482.8010000000004</v>
      </c>
      <c r="Q18" s="54">
        <v>6919.5330000000004</v>
      </c>
      <c r="R18" s="54">
        <f t="shared" si="0"/>
        <v>1436.732</v>
      </c>
    </row>
    <row r="19" spans="1:18" s="18" customFormat="1" ht="30" customHeight="1">
      <c r="A19" s="50" t="s">
        <v>24</v>
      </c>
      <c r="B19" s="59" t="s">
        <v>29</v>
      </c>
      <c r="C19" s="74" t="s">
        <v>35</v>
      </c>
      <c r="D19" s="60" t="s">
        <v>24</v>
      </c>
      <c r="E19" s="65" t="s">
        <v>28</v>
      </c>
      <c r="F19" s="21">
        <v>1695</v>
      </c>
      <c r="G19" s="54">
        <v>76.125209999999996</v>
      </c>
      <c r="H19" s="54">
        <v>15.432320000000001</v>
      </c>
      <c r="I19" s="54">
        <v>0</v>
      </c>
      <c r="J19" s="54">
        <v>0</v>
      </c>
      <c r="K19" s="54">
        <v>33.085189999999997</v>
      </c>
      <c r="L19" s="54">
        <v>159.49709999999999</v>
      </c>
      <c r="M19" s="54">
        <v>144.0942</v>
      </c>
      <c r="N19" s="54">
        <v>250.63829999999999</v>
      </c>
      <c r="O19" s="54">
        <v>294.76080000000002</v>
      </c>
      <c r="P19" s="54">
        <v>2065.7359999999999</v>
      </c>
      <c r="Q19" s="54">
        <v>3358.0970000000002</v>
      </c>
      <c r="R19" s="54">
        <f t="shared" si="0"/>
        <v>1292.3610000000003</v>
      </c>
    </row>
    <row r="20" spans="1:18" s="18" customFormat="1" ht="30" customHeight="1">
      <c r="A20" s="50" t="s">
        <v>24</v>
      </c>
      <c r="B20" s="81" t="s">
        <v>30</v>
      </c>
      <c r="C20" s="74" t="s">
        <v>35</v>
      </c>
      <c r="D20" s="60" t="s">
        <v>24</v>
      </c>
      <c r="E20" s="61" t="s">
        <v>27</v>
      </c>
      <c r="F20" s="21">
        <v>1881</v>
      </c>
      <c r="G20" s="54">
        <v>1458.42</v>
      </c>
      <c r="H20" s="54">
        <v>1309.758</v>
      </c>
      <c r="I20" s="54">
        <v>1126.1179999999999</v>
      </c>
      <c r="J20" s="54">
        <v>814.87980000000005</v>
      </c>
      <c r="K20" s="54">
        <v>892.05629999999996</v>
      </c>
      <c r="L20" s="54">
        <v>1333.761</v>
      </c>
      <c r="M20" s="54">
        <v>1578.9359999999999</v>
      </c>
      <c r="N20" s="54">
        <v>1627.104</v>
      </c>
      <c r="O20" s="54">
        <v>1708.5830000000001</v>
      </c>
      <c r="P20" s="54">
        <v>4709.1750000000002</v>
      </c>
      <c r="Q20" s="54">
        <v>6248.384</v>
      </c>
      <c r="R20" s="54">
        <f t="shared" si="0"/>
        <v>1539.2089999999998</v>
      </c>
    </row>
    <row r="21" spans="1:18" s="18" customFormat="1" ht="30" customHeight="1">
      <c r="A21" s="50" t="s">
        <v>24</v>
      </c>
      <c r="B21" s="81" t="s">
        <v>30</v>
      </c>
      <c r="C21" s="74" t="s">
        <v>35</v>
      </c>
      <c r="D21" s="60" t="s">
        <v>24</v>
      </c>
      <c r="E21" s="65" t="s">
        <v>28</v>
      </c>
      <c r="F21" s="21">
        <v>1881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68.543019999999999</v>
      </c>
      <c r="O21" s="54">
        <v>66.533069999999995</v>
      </c>
      <c r="P21" s="54">
        <v>1481.835</v>
      </c>
      <c r="Q21" s="54">
        <v>2295.5419999999999</v>
      </c>
      <c r="R21" s="54">
        <f t="shared" si="0"/>
        <v>813.70699999999988</v>
      </c>
    </row>
    <row r="22" spans="1:18" s="18" customFormat="1" ht="30" customHeight="1">
      <c r="A22" s="50" t="s">
        <v>24</v>
      </c>
      <c r="B22" s="82" t="s">
        <v>31</v>
      </c>
      <c r="C22" s="74" t="s">
        <v>35</v>
      </c>
      <c r="D22" s="60" t="s">
        <v>24</v>
      </c>
      <c r="E22" s="61" t="s">
        <v>27</v>
      </c>
      <c r="F22" s="21">
        <v>1440</v>
      </c>
      <c r="G22" s="54">
        <v>1151.46</v>
      </c>
      <c r="H22" s="54">
        <v>1093.5409999999999</v>
      </c>
      <c r="I22" s="54">
        <v>945.24270000000001</v>
      </c>
      <c r="J22" s="54">
        <v>818.40549999999996</v>
      </c>
      <c r="K22" s="54">
        <v>848.54259999999999</v>
      </c>
      <c r="L22" s="54">
        <v>1120.4159999999999</v>
      </c>
      <c r="M22" s="54">
        <v>1253.2380000000001</v>
      </c>
      <c r="N22" s="54">
        <v>1375.73</v>
      </c>
      <c r="O22" s="54">
        <v>1456.6220000000001</v>
      </c>
      <c r="P22" s="54">
        <v>4008.6489999999999</v>
      </c>
      <c r="Q22" s="54">
        <v>5206.0060000000003</v>
      </c>
      <c r="R22" s="54">
        <f t="shared" si="0"/>
        <v>1197.3570000000004</v>
      </c>
    </row>
    <row r="23" spans="1:18" s="18" customFormat="1" ht="30" customHeight="1">
      <c r="A23" s="50" t="s">
        <v>24</v>
      </c>
      <c r="B23" s="82" t="s">
        <v>31</v>
      </c>
      <c r="C23" s="74" t="s">
        <v>35</v>
      </c>
      <c r="D23" s="60" t="s">
        <v>24</v>
      </c>
      <c r="E23" s="65" t="s">
        <v>28</v>
      </c>
      <c r="F23" s="21">
        <v>1440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995.66399999999999</v>
      </c>
      <c r="Q23" s="54">
        <v>1285.1179999999999</v>
      </c>
      <c r="R23" s="54">
        <f t="shared" si="0"/>
        <v>289.45399999999995</v>
      </c>
    </row>
    <row r="24" spans="1:18" s="18" customFormat="1" ht="30" customHeight="1">
      <c r="A24" s="50" t="s">
        <v>24</v>
      </c>
      <c r="B24" s="80" t="s">
        <v>32</v>
      </c>
      <c r="C24" s="74" t="s">
        <v>35</v>
      </c>
      <c r="D24" s="60" t="s">
        <v>24</v>
      </c>
      <c r="E24" s="61" t="s">
        <v>27</v>
      </c>
      <c r="F24" s="21">
        <v>1074</v>
      </c>
      <c r="G24" s="54">
        <v>1165.905</v>
      </c>
      <c r="H24" s="54">
        <v>1090.0719999999999</v>
      </c>
      <c r="I24" s="54">
        <v>947.21889999999996</v>
      </c>
      <c r="J24" s="54">
        <v>647.28510000000006</v>
      </c>
      <c r="K24" s="54">
        <v>730.12940000000003</v>
      </c>
      <c r="L24" s="54">
        <v>1055.769</v>
      </c>
      <c r="M24" s="54">
        <v>1322.7180000000001</v>
      </c>
      <c r="N24" s="54">
        <v>1459.5260000000001</v>
      </c>
      <c r="O24" s="54">
        <v>1496.39</v>
      </c>
      <c r="P24" s="54">
        <v>3850.4810000000002</v>
      </c>
      <c r="Q24" s="54">
        <v>5334.4040000000005</v>
      </c>
      <c r="R24" s="54">
        <f t="shared" si="0"/>
        <v>1483.9230000000002</v>
      </c>
    </row>
    <row r="25" spans="1:18" s="18" customFormat="1" ht="30" customHeight="1">
      <c r="A25" s="50" t="s">
        <v>24</v>
      </c>
      <c r="B25" s="80" t="s">
        <v>32</v>
      </c>
      <c r="C25" s="74" t="s">
        <v>35</v>
      </c>
      <c r="D25" s="60" t="s">
        <v>24</v>
      </c>
      <c r="E25" s="65" t="s">
        <v>28</v>
      </c>
      <c r="F25" s="21">
        <v>1074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833.08870000000002</v>
      </c>
      <c r="Q25" s="54">
        <v>1601.2329999999999</v>
      </c>
      <c r="R25" s="54">
        <f t="shared" si="0"/>
        <v>768.14429999999993</v>
      </c>
    </row>
    <row r="26" spans="1:18" s="18" customFormat="1" ht="30" customHeight="1">
      <c r="A26" s="50" t="s">
        <v>24</v>
      </c>
      <c r="B26" s="50" t="s">
        <v>25</v>
      </c>
      <c r="C26" s="60" t="s">
        <v>26</v>
      </c>
      <c r="D26" s="77" t="s">
        <v>36</v>
      </c>
      <c r="E26" s="61" t="s">
        <v>27</v>
      </c>
      <c r="F26" s="21">
        <v>18298</v>
      </c>
      <c r="G26" s="54">
        <v>1426.2439999999999</v>
      </c>
      <c r="H26" s="54">
        <v>1320.606</v>
      </c>
      <c r="I26" s="54">
        <v>1189.454</v>
      </c>
      <c r="J26" s="54">
        <v>953.37450000000001</v>
      </c>
      <c r="K26" s="54">
        <v>1168.7370000000001</v>
      </c>
      <c r="L26" s="54">
        <v>1554.165</v>
      </c>
      <c r="M26" s="54">
        <v>1698.37</v>
      </c>
      <c r="N26" s="54">
        <v>1806.529</v>
      </c>
      <c r="O26" s="54">
        <v>1870.2280000000001</v>
      </c>
      <c r="P26" s="54">
        <v>4889.6779999999999</v>
      </c>
      <c r="Q26" s="54">
        <v>6929.2920000000004</v>
      </c>
      <c r="R26" s="54">
        <f t="shared" si="0"/>
        <v>2039.6140000000005</v>
      </c>
    </row>
    <row r="27" spans="1:18" s="18" customFormat="1" ht="30" customHeight="1">
      <c r="A27" s="50" t="s">
        <v>24</v>
      </c>
      <c r="B27" s="50" t="s">
        <v>25</v>
      </c>
      <c r="C27" s="60" t="s">
        <v>26</v>
      </c>
      <c r="D27" s="77" t="s">
        <v>36</v>
      </c>
      <c r="E27" s="65" t="s">
        <v>28</v>
      </c>
      <c r="F27" s="21">
        <v>18298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56.464149999999997</v>
      </c>
      <c r="O27" s="54">
        <v>53.376989999999999</v>
      </c>
      <c r="P27" s="54">
        <v>1487.5219999999999</v>
      </c>
      <c r="Q27" s="54">
        <v>2656.6329999999998</v>
      </c>
      <c r="R27" s="54">
        <f t="shared" si="0"/>
        <v>1169.1109999999999</v>
      </c>
    </row>
    <row r="28" spans="1:18" s="18" customFormat="1" ht="30" customHeight="1">
      <c r="A28" s="50" t="s">
        <v>24</v>
      </c>
      <c r="B28" s="59" t="s">
        <v>29</v>
      </c>
      <c r="C28" s="60" t="s">
        <v>26</v>
      </c>
      <c r="D28" s="77" t="s">
        <v>36</v>
      </c>
      <c r="E28" s="61" t="s">
        <v>27</v>
      </c>
      <c r="F28" s="21">
        <v>4157</v>
      </c>
      <c r="G28" s="54">
        <v>1701.4949999999999</v>
      </c>
      <c r="H28" s="54">
        <v>1617.4739999999999</v>
      </c>
      <c r="I28" s="54">
        <v>1415.414</v>
      </c>
      <c r="J28" s="54">
        <v>1071.731</v>
      </c>
      <c r="K28" s="54">
        <v>1268.538</v>
      </c>
      <c r="L28" s="54">
        <v>1795.5050000000001</v>
      </c>
      <c r="M28" s="54">
        <v>1914.56</v>
      </c>
      <c r="N28" s="54">
        <v>2005.1189999999999</v>
      </c>
      <c r="O28" s="54">
        <v>2088.5920000000001</v>
      </c>
      <c r="P28" s="54">
        <v>5806.1139999999996</v>
      </c>
      <c r="Q28" s="54">
        <v>7803.7759999999998</v>
      </c>
      <c r="R28" s="54">
        <f t="shared" si="0"/>
        <v>1997.6620000000003</v>
      </c>
    </row>
    <row r="29" spans="1:18" s="18" customFormat="1" ht="30" customHeight="1">
      <c r="A29" s="50" t="s">
        <v>24</v>
      </c>
      <c r="B29" s="59" t="s">
        <v>29</v>
      </c>
      <c r="C29" s="60" t="s">
        <v>26</v>
      </c>
      <c r="D29" s="77" t="s">
        <v>36</v>
      </c>
      <c r="E29" s="65" t="s">
        <v>28</v>
      </c>
      <c r="F29" s="21">
        <v>4157</v>
      </c>
      <c r="G29" s="54">
        <v>14.5806</v>
      </c>
      <c r="H29" s="54">
        <v>37.86683</v>
      </c>
      <c r="I29" s="54">
        <v>0</v>
      </c>
      <c r="J29" s="54">
        <v>0</v>
      </c>
      <c r="K29" s="54">
        <v>187.3357</v>
      </c>
      <c r="L29" s="54">
        <v>319.52609999999999</v>
      </c>
      <c r="M29" s="54">
        <v>324.05759999999998</v>
      </c>
      <c r="N29" s="54">
        <v>337.42500000000001</v>
      </c>
      <c r="O29" s="54">
        <v>340.96</v>
      </c>
      <c r="P29" s="54">
        <v>2354.098</v>
      </c>
      <c r="Q29" s="54">
        <v>3835.3609999999999</v>
      </c>
      <c r="R29" s="54">
        <f t="shared" si="0"/>
        <v>1481.2629999999999</v>
      </c>
    </row>
    <row r="30" spans="1:18" s="18" customFormat="1" ht="30" customHeight="1">
      <c r="A30" s="50" t="s">
        <v>24</v>
      </c>
      <c r="B30" s="81" t="s">
        <v>30</v>
      </c>
      <c r="C30" s="60" t="s">
        <v>26</v>
      </c>
      <c r="D30" s="77" t="s">
        <v>36</v>
      </c>
      <c r="E30" s="61" t="s">
        <v>27</v>
      </c>
      <c r="F30" s="21">
        <v>4411</v>
      </c>
      <c r="G30" s="54">
        <v>1597.6079999999999</v>
      </c>
      <c r="H30" s="54">
        <v>1446.894</v>
      </c>
      <c r="I30" s="54">
        <v>1270.1110000000001</v>
      </c>
      <c r="J30" s="54">
        <v>952.78430000000003</v>
      </c>
      <c r="K30" s="54">
        <v>1142.242</v>
      </c>
      <c r="L30" s="54">
        <v>1612.837</v>
      </c>
      <c r="M30" s="54">
        <v>1801.078</v>
      </c>
      <c r="N30" s="54">
        <v>1888.9290000000001</v>
      </c>
      <c r="O30" s="54">
        <v>1981.739</v>
      </c>
      <c r="P30" s="54">
        <v>5267.3959999999997</v>
      </c>
      <c r="Q30" s="54">
        <v>7284.5820000000003</v>
      </c>
      <c r="R30" s="54">
        <f t="shared" si="0"/>
        <v>2017.1860000000006</v>
      </c>
    </row>
    <row r="31" spans="1:18" s="18" customFormat="1" ht="30" customHeight="1">
      <c r="A31" s="50" t="s">
        <v>24</v>
      </c>
      <c r="B31" s="81" t="s">
        <v>30</v>
      </c>
      <c r="C31" s="60" t="s">
        <v>26</v>
      </c>
      <c r="D31" s="77" t="s">
        <v>36</v>
      </c>
      <c r="E31" s="65" t="s">
        <v>28</v>
      </c>
      <c r="F31" s="21">
        <v>4411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32.972479999999997</v>
      </c>
      <c r="M31" s="54">
        <v>123.70189999999999</v>
      </c>
      <c r="N31" s="54">
        <v>186.87100000000001</v>
      </c>
      <c r="O31" s="54">
        <v>242.77010000000001</v>
      </c>
      <c r="P31" s="54">
        <v>1661.42</v>
      </c>
      <c r="Q31" s="54">
        <v>3106.8539999999998</v>
      </c>
      <c r="R31" s="54">
        <f t="shared" si="0"/>
        <v>1445.4339999999997</v>
      </c>
    </row>
    <row r="32" spans="1:18" s="18" customFormat="1" ht="30" customHeight="1">
      <c r="A32" s="50" t="s">
        <v>24</v>
      </c>
      <c r="B32" s="82" t="s">
        <v>31</v>
      </c>
      <c r="C32" s="60" t="s">
        <v>26</v>
      </c>
      <c r="D32" s="77" t="s">
        <v>36</v>
      </c>
      <c r="E32" s="61" t="s">
        <v>27</v>
      </c>
      <c r="F32" s="21">
        <v>5576</v>
      </c>
      <c r="G32" s="54">
        <v>1645.692</v>
      </c>
      <c r="H32" s="54">
        <v>1459.63</v>
      </c>
      <c r="I32" s="54">
        <v>1395.2280000000001</v>
      </c>
      <c r="J32" s="54">
        <v>1215.374</v>
      </c>
      <c r="K32" s="54">
        <v>1818.31</v>
      </c>
      <c r="L32" s="54">
        <v>2467.1680000000001</v>
      </c>
      <c r="M32" s="54">
        <v>2612.6109999999999</v>
      </c>
      <c r="N32" s="54">
        <v>2861.692</v>
      </c>
      <c r="O32" s="54">
        <v>2963.4870000000001</v>
      </c>
      <c r="P32" s="54">
        <v>4362.7920000000004</v>
      </c>
      <c r="Q32" s="54">
        <v>6386.1440000000002</v>
      </c>
      <c r="R32" s="54">
        <f t="shared" si="0"/>
        <v>2023.3519999999999</v>
      </c>
    </row>
    <row r="33" spans="1:27" s="55" customFormat="1" ht="30" customHeight="1">
      <c r="A33" s="50" t="s">
        <v>24</v>
      </c>
      <c r="B33" s="82" t="s">
        <v>31</v>
      </c>
      <c r="C33" s="60" t="s">
        <v>26</v>
      </c>
      <c r="D33" s="77" t="s">
        <v>36</v>
      </c>
      <c r="E33" s="65" t="s">
        <v>28</v>
      </c>
      <c r="F33" s="21">
        <v>5576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1100.951</v>
      </c>
      <c r="Q33" s="54">
        <v>1886.4359999999999</v>
      </c>
      <c r="R33" s="54">
        <f t="shared" si="0"/>
        <v>785.4849999999999</v>
      </c>
    </row>
    <row r="34" spans="1:27" s="18" customFormat="1" ht="30" customHeight="1">
      <c r="A34" s="50" t="s">
        <v>24</v>
      </c>
      <c r="B34" s="80" t="s">
        <v>32</v>
      </c>
      <c r="C34" s="60" t="s">
        <v>26</v>
      </c>
      <c r="D34" s="77" t="s">
        <v>36</v>
      </c>
      <c r="E34" s="61" t="s">
        <v>27</v>
      </c>
      <c r="F34" s="21">
        <v>4154</v>
      </c>
      <c r="G34" s="54">
        <v>1213.751</v>
      </c>
      <c r="H34" s="54">
        <v>1135.548</v>
      </c>
      <c r="I34" s="54">
        <v>1051.346</v>
      </c>
      <c r="J34" s="54">
        <v>878.09960000000001</v>
      </c>
      <c r="K34" s="54">
        <v>1108.895</v>
      </c>
      <c r="L34" s="54">
        <v>1386.153</v>
      </c>
      <c r="M34" s="54">
        <v>1579.8050000000001</v>
      </c>
      <c r="N34" s="54">
        <v>1716.02</v>
      </c>
      <c r="O34" s="54">
        <v>1724.0050000000001</v>
      </c>
      <c r="P34" s="54">
        <v>4278.7449999999999</v>
      </c>
      <c r="Q34" s="54">
        <v>6405.982</v>
      </c>
      <c r="R34" s="54">
        <f t="shared" si="0"/>
        <v>2127.2370000000001</v>
      </c>
    </row>
    <row r="35" spans="1:27" s="18" customFormat="1" ht="30" customHeight="1">
      <c r="A35" s="50" t="s">
        <v>24</v>
      </c>
      <c r="B35" s="80" t="s">
        <v>32</v>
      </c>
      <c r="C35" s="60" t="s">
        <v>26</v>
      </c>
      <c r="D35" s="77" t="s">
        <v>36</v>
      </c>
      <c r="E35" s="65" t="s">
        <v>28</v>
      </c>
      <c r="F35" s="21">
        <v>4154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1039.07</v>
      </c>
      <c r="Q35" s="54">
        <v>2097.5540000000001</v>
      </c>
      <c r="R35" s="54">
        <f t="shared" si="0"/>
        <v>1058.4840000000002</v>
      </c>
    </row>
    <row r="36" spans="1:27" s="18" customFormat="1" ht="30" customHeight="1">
      <c r="A36" s="50" t="s">
        <v>24</v>
      </c>
      <c r="B36" s="50" t="s">
        <v>25</v>
      </c>
      <c r="C36" s="60" t="s">
        <v>26</v>
      </c>
      <c r="D36" s="78" t="s">
        <v>37</v>
      </c>
      <c r="E36" s="61" t="s">
        <v>27</v>
      </c>
      <c r="F36" s="21">
        <v>4207</v>
      </c>
      <c r="G36" s="54">
        <v>2017.183</v>
      </c>
      <c r="H36" s="54">
        <v>1743.93</v>
      </c>
      <c r="I36" s="54">
        <v>2168.8960000000002</v>
      </c>
      <c r="J36" s="54">
        <v>3727.2339999999999</v>
      </c>
      <c r="K36" s="54">
        <v>4107.7759999999998</v>
      </c>
      <c r="L36" s="54">
        <v>3926.759</v>
      </c>
      <c r="M36" s="54">
        <v>3829.3270000000002</v>
      </c>
      <c r="N36" s="54">
        <v>3898.2339999999999</v>
      </c>
      <c r="O36" s="54">
        <v>3843.41</v>
      </c>
      <c r="P36" s="54">
        <v>9657.2430000000004</v>
      </c>
      <c r="Q36" s="54">
        <v>15497.73</v>
      </c>
      <c r="R36" s="54">
        <f t="shared" si="0"/>
        <v>5840.4869999999992</v>
      </c>
    </row>
    <row r="37" spans="1:27" s="18" customFormat="1" ht="30" customHeight="1">
      <c r="A37" s="50" t="s">
        <v>24</v>
      </c>
      <c r="B37" s="50" t="s">
        <v>25</v>
      </c>
      <c r="C37" s="60" t="s">
        <v>26</v>
      </c>
      <c r="D37" s="78" t="s">
        <v>37</v>
      </c>
      <c r="E37" s="65" t="s">
        <v>28</v>
      </c>
      <c r="F37" s="21">
        <v>4207</v>
      </c>
      <c r="G37" s="54">
        <v>546.72699999999998</v>
      </c>
      <c r="H37" s="54">
        <v>486.16449999999998</v>
      </c>
      <c r="I37" s="54">
        <v>1693.7260000000001</v>
      </c>
      <c r="J37" s="54">
        <v>3553.6260000000002</v>
      </c>
      <c r="K37" s="54">
        <v>3934.4409999999998</v>
      </c>
      <c r="L37" s="54">
        <v>3752.739</v>
      </c>
      <c r="M37" s="54">
        <v>3614.1030000000001</v>
      </c>
      <c r="N37" s="54">
        <v>3658.6260000000002</v>
      </c>
      <c r="O37" s="54">
        <v>3645.607</v>
      </c>
      <c r="P37" s="54">
        <v>8273.8459999999995</v>
      </c>
      <c r="Q37" s="54">
        <v>14221.72</v>
      </c>
      <c r="R37" s="54">
        <f t="shared" si="0"/>
        <v>5947.8739999999998</v>
      </c>
    </row>
    <row r="38" spans="1:27" s="18" customFormat="1" ht="30" customHeight="1">
      <c r="A38" s="50" t="s">
        <v>24</v>
      </c>
      <c r="B38" s="59" t="s">
        <v>29</v>
      </c>
      <c r="C38" s="60" t="s">
        <v>26</v>
      </c>
      <c r="D38" s="78" t="s">
        <v>37</v>
      </c>
      <c r="E38" s="61" t="s">
        <v>27</v>
      </c>
      <c r="F38" s="21">
        <v>992</v>
      </c>
      <c r="G38" s="54">
        <v>2291.395</v>
      </c>
      <c r="H38" s="54">
        <v>1905.088</v>
      </c>
      <c r="I38" s="54">
        <v>2101.799</v>
      </c>
      <c r="J38" s="54">
        <v>3709.4859999999999</v>
      </c>
      <c r="K38" s="54">
        <v>4258.7719999999999</v>
      </c>
      <c r="L38" s="54">
        <v>4186.1790000000001</v>
      </c>
      <c r="M38" s="54">
        <v>4012.28</v>
      </c>
      <c r="N38" s="54">
        <v>4130.942</v>
      </c>
      <c r="O38" s="54">
        <v>3899.2539999999999</v>
      </c>
      <c r="P38" s="54">
        <v>10007.77</v>
      </c>
      <c r="Q38" s="54">
        <v>16228.65</v>
      </c>
      <c r="R38" s="54">
        <f t="shared" si="0"/>
        <v>6220.8799999999992</v>
      </c>
    </row>
    <row r="39" spans="1:27" s="18" customFormat="1" ht="30" customHeight="1">
      <c r="A39" s="50" t="s">
        <v>24</v>
      </c>
      <c r="B39" s="59" t="s">
        <v>29</v>
      </c>
      <c r="C39" s="60" t="s">
        <v>26</v>
      </c>
      <c r="D39" s="78" t="s">
        <v>37</v>
      </c>
      <c r="E39" s="65" t="s">
        <v>28</v>
      </c>
      <c r="F39" s="21">
        <v>992</v>
      </c>
      <c r="G39" s="54">
        <v>817.125</v>
      </c>
      <c r="H39" s="54">
        <v>403.00510000000003</v>
      </c>
      <c r="I39" s="54">
        <v>1582.213</v>
      </c>
      <c r="J39" s="54">
        <v>3497.2660000000001</v>
      </c>
      <c r="K39" s="54">
        <v>4007.098</v>
      </c>
      <c r="L39" s="54">
        <v>3941.1019999999999</v>
      </c>
      <c r="M39" s="54">
        <v>3640.944</v>
      </c>
      <c r="N39" s="54">
        <v>3864.2809999999999</v>
      </c>
      <c r="O39" s="54">
        <v>3667.4560000000001</v>
      </c>
      <c r="P39" s="54">
        <v>8427.7360000000008</v>
      </c>
      <c r="Q39" s="54">
        <v>14650.46</v>
      </c>
      <c r="R39" s="54">
        <f t="shared" si="0"/>
        <v>6222.7239999999983</v>
      </c>
    </row>
    <row r="40" spans="1:27" s="18" customFormat="1" ht="30" customHeight="1">
      <c r="A40" s="50" t="s">
        <v>24</v>
      </c>
      <c r="B40" s="81" t="s">
        <v>30</v>
      </c>
      <c r="C40" s="60" t="s">
        <v>26</v>
      </c>
      <c r="D40" s="78" t="s">
        <v>37</v>
      </c>
      <c r="E40" s="61" t="s">
        <v>27</v>
      </c>
      <c r="F40" s="21">
        <v>954</v>
      </c>
      <c r="G40" s="54">
        <v>1925.383</v>
      </c>
      <c r="H40" s="54">
        <v>1692.615</v>
      </c>
      <c r="I40" s="54">
        <v>2043.9010000000001</v>
      </c>
      <c r="J40" s="54">
        <v>3607.2530000000002</v>
      </c>
      <c r="K40" s="54">
        <v>4037.7759999999998</v>
      </c>
      <c r="L40" s="54">
        <v>3957.527</v>
      </c>
      <c r="M40" s="54">
        <v>3907.482</v>
      </c>
      <c r="N40" s="54">
        <v>4036.152</v>
      </c>
      <c r="O40" s="54">
        <v>3959.8510000000001</v>
      </c>
      <c r="P40" s="54">
        <v>9269.152</v>
      </c>
      <c r="Q40" s="54">
        <v>15861.01</v>
      </c>
      <c r="R40" s="54">
        <f t="shared" si="0"/>
        <v>6591.8580000000002</v>
      </c>
    </row>
    <row r="41" spans="1:27" s="18" customFormat="1" ht="30" customHeight="1">
      <c r="A41" s="50" t="s">
        <v>24</v>
      </c>
      <c r="B41" s="81" t="s">
        <v>30</v>
      </c>
      <c r="C41" s="60" t="s">
        <v>26</v>
      </c>
      <c r="D41" s="78" t="s">
        <v>37</v>
      </c>
      <c r="E41" s="65" t="s">
        <v>28</v>
      </c>
      <c r="F41" s="21">
        <v>954</v>
      </c>
      <c r="G41" s="54">
        <v>367.13080000000002</v>
      </c>
      <c r="H41" s="54">
        <v>492.08409999999998</v>
      </c>
      <c r="I41" s="54">
        <v>1547.3979999999999</v>
      </c>
      <c r="J41" s="54">
        <v>3453.0839999999998</v>
      </c>
      <c r="K41" s="54">
        <v>3847.4250000000002</v>
      </c>
      <c r="L41" s="54">
        <v>3828.5889999999999</v>
      </c>
      <c r="M41" s="54">
        <v>3701.6219999999998</v>
      </c>
      <c r="N41" s="54">
        <v>3867.2510000000002</v>
      </c>
      <c r="O41" s="54">
        <v>3781.5140000000001</v>
      </c>
      <c r="P41" s="54">
        <v>7768.6139999999996</v>
      </c>
      <c r="Q41" s="54">
        <v>14817.13</v>
      </c>
      <c r="R41" s="54">
        <f t="shared" si="0"/>
        <v>7048.5159999999996</v>
      </c>
    </row>
    <row r="42" spans="1:27" s="18" customFormat="1" ht="30" customHeight="1">
      <c r="A42" s="50" t="s">
        <v>24</v>
      </c>
      <c r="B42" s="82" t="s">
        <v>31</v>
      </c>
      <c r="C42" s="60" t="s">
        <v>26</v>
      </c>
      <c r="D42" s="78" t="s">
        <v>37</v>
      </c>
      <c r="E42" s="61" t="s">
        <v>27</v>
      </c>
      <c r="F42" s="21">
        <v>1238</v>
      </c>
      <c r="G42" s="22">
        <v>1916.499</v>
      </c>
      <c r="H42" s="22">
        <v>1698.2139999999999</v>
      </c>
      <c r="I42" s="22">
        <v>2289.0680000000002</v>
      </c>
      <c r="J42" s="22">
        <v>3770.665</v>
      </c>
      <c r="K42" s="22">
        <v>4092.0830000000001</v>
      </c>
      <c r="L42" s="22">
        <v>3888.45</v>
      </c>
      <c r="M42" s="22">
        <v>3757.1480000000001</v>
      </c>
      <c r="N42" s="22">
        <v>3768.6350000000002</v>
      </c>
      <c r="O42" s="22">
        <v>3865.3</v>
      </c>
      <c r="P42" s="54">
        <v>9674.4459999999999</v>
      </c>
      <c r="Q42" s="54">
        <v>15279.53</v>
      </c>
      <c r="R42" s="54">
        <f t="shared" si="0"/>
        <v>5605.0840000000007</v>
      </c>
    </row>
    <row r="43" spans="1:27" s="18" customFormat="1" ht="30" customHeight="1">
      <c r="A43" s="50" t="s">
        <v>24</v>
      </c>
      <c r="B43" s="82" t="s">
        <v>31</v>
      </c>
      <c r="C43" s="60" t="s">
        <v>26</v>
      </c>
      <c r="D43" s="78" t="s">
        <v>37</v>
      </c>
      <c r="E43" s="65" t="s">
        <v>28</v>
      </c>
      <c r="F43" s="21">
        <v>1238</v>
      </c>
      <c r="G43" s="22">
        <v>288.24529999999999</v>
      </c>
      <c r="H43" s="22">
        <v>503.0437</v>
      </c>
      <c r="I43" s="22">
        <v>1806.558</v>
      </c>
      <c r="J43" s="22">
        <v>3589.67</v>
      </c>
      <c r="K43" s="22">
        <v>3836.8440000000001</v>
      </c>
      <c r="L43" s="22">
        <v>3737.2240000000002</v>
      </c>
      <c r="M43" s="22">
        <v>3601.335</v>
      </c>
      <c r="N43" s="22">
        <v>3545.855</v>
      </c>
      <c r="O43" s="22">
        <v>3658.3220000000001</v>
      </c>
      <c r="P43" s="54">
        <v>8239.6319999999996</v>
      </c>
      <c r="Q43" s="54">
        <v>14433.86</v>
      </c>
      <c r="R43" s="54">
        <f t="shared" si="0"/>
        <v>6194.228000000001</v>
      </c>
    </row>
    <row r="44" spans="1:27" s="18" customFormat="1" ht="30" customHeight="1">
      <c r="A44" s="50" t="s">
        <v>24</v>
      </c>
      <c r="B44" s="80" t="s">
        <v>32</v>
      </c>
      <c r="C44" s="60" t="s">
        <v>26</v>
      </c>
      <c r="D44" s="78" t="s">
        <v>37</v>
      </c>
      <c r="E44" s="61" t="s">
        <v>27</v>
      </c>
      <c r="F44" s="21">
        <v>1023</v>
      </c>
      <c r="G44" s="22">
        <v>1958.7339999999999</v>
      </c>
      <c r="H44" s="22">
        <v>1690.8340000000001</v>
      </c>
      <c r="I44" s="22">
        <v>2205.0940000000001</v>
      </c>
      <c r="J44" s="22">
        <v>3803.7750000000001</v>
      </c>
      <c r="K44" s="22">
        <v>4045.627</v>
      </c>
      <c r="L44" s="22">
        <v>3692.866</v>
      </c>
      <c r="M44" s="22">
        <v>3666.384</v>
      </c>
      <c r="N44" s="22">
        <v>3700.799</v>
      </c>
      <c r="O44" s="22">
        <v>3654.183</v>
      </c>
      <c r="P44" s="54">
        <v>9658.4369999999999</v>
      </c>
      <c r="Q44" s="54">
        <v>14714.23</v>
      </c>
      <c r="R44" s="54">
        <f t="shared" si="0"/>
        <v>5055.7929999999997</v>
      </c>
    </row>
    <row r="45" spans="1:27" s="18" customFormat="1" ht="30" customHeight="1">
      <c r="A45" s="50" t="s">
        <v>24</v>
      </c>
      <c r="B45" s="80" t="s">
        <v>32</v>
      </c>
      <c r="C45" s="60" t="s">
        <v>26</v>
      </c>
      <c r="D45" s="78" t="s">
        <v>37</v>
      </c>
      <c r="E45" s="65" t="s">
        <v>28</v>
      </c>
      <c r="F45" s="21">
        <v>1023</v>
      </c>
      <c r="G45" s="22">
        <v>731.98940000000005</v>
      </c>
      <c r="H45" s="22">
        <v>512.58789999999999</v>
      </c>
      <c r="I45" s="22">
        <v>1790.3969999999999</v>
      </c>
      <c r="J45" s="22">
        <v>3690.3939999999998</v>
      </c>
      <c r="K45" s="22">
        <v>3971.328</v>
      </c>
      <c r="L45" s="22">
        <v>3607.01</v>
      </c>
      <c r="M45" s="22">
        <v>3493.0070000000001</v>
      </c>
      <c r="N45" s="22">
        <v>3395.0949999999998</v>
      </c>
      <c r="O45" s="22">
        <v>3401.7190000000001</v>
      </c>
      <c r="P45" s="54">
        <v>8628.0120000000006</v>
      </c>
      <c r="Q45" s="54">
        <v>13176.64</v>
      </c>
      <c r="R45" s="54">
        <f t="shared" si="0"/>
        <v>4548.6279999999988</v>
      </c>
    </row>
    <row r="46" spans="1:27" s="18" customFormat="1" ht="35.1" hidden="1" customHeight="1">
      <c r="A46" s="52" t="s">
        <v>38</v>
      </c>
      <c r="B46" s="51" t="s">
        <v>25</v>
      </c>
      <c r="C46" s="52" t="s">
        <v>26</v>
      </c>
      <c r="D46" s="52" t="s">
        <v>24</v>
      </c>
      <c r="E46" s="61" t="s">
        <v>27</v>
      </c>
      <c r="F46" s="137">
        <v>18587</v>
      </c>
      <c r="G46" s="169"/>
      <c r="H46" s="169"/>
      <c r="I46" s="169"/>
      <c r="J46" s="169"/>
      <c r="K46" s="170"/>
      <c r="L46" s="169"/>
      <c r="M46" s="169"/>
      <c r="N46" s="169"/>
      <c r="O46" s="169"/>
      <c r="P46" s="169"/>
      <c r="Q46" s="171"/>
      <c r="R46" s="172"/>
      <c r="S46" s="173"/>
      <c r="T46" s="139"/>
      <c r="U46" s="139"/>
      <c r="V46" s="15"/>
      <c r="W46" s="15"/>
      <c r="X46" s="15"/>
      <c r="Y46" s="15"/>
      <c r="Z46" s="16"/>
      <c r="AA46" s="17"/>
    </row>
    <row r="47" spans="1:27" s="18" customFormat="1" ht="35.1" hidden="1" customHeight="1">
      <c r="A47" s="60" t="s">
        <v>38</v>
      </c>
      <c r="B47" s="59" t="s">
        <v>29</v>
      </c>
      <c r="C47" s="60" t="s">
        <v>26</v>
      </c>
      <c r="D47" s="60" t="s">
        <v>24</v>
      </c>
      <c r="E47" s="61" t="s">
        <v>27</v>
      </c>
      <c r="F47" s="43">
        <v>4249</v>
      </c>
      <c r="G47" s="46"/>
      <c r="H47" s="46"/>
      <c r="I47" s="46"/>
      <c r="J47" s="46"/>
      <c r="K47" s="47"/>
      <c r="L47" s="46"/>
      <c r="M47" s="46"/>
      <c r="N47" s="46"/>
      <c r="O47" s="46"/>
      <c r="P47" s="44"/>
      <c r="Q47" s="46"/>
      <c r="R47" s="47"/>
      <c r="S47" s="138"/>
      <c r="T47" s="138"/>
      <c r="U47" s="138"/>
      <c r="V47" s="36"/>
      <c r="W47" s="36"/>
      <c r="X47" s="36"/>
      <c r="Y47" s="36"/>
      <c r="Z47" s="37"/>
      <c r="AA47" s="19"/>
    </row>
    <row r="48" spans="1:27" s="18" customFormat="1" ht="35.1" hidden="1" customHeight="1">
      <c r="A48" s="60" t="s">
        <v>38</v>
      </c>
      <c r="B48" s="81" t="s">
        <v>30</v>
      </c>
      <c r="C48" s="60" t="s">
        <v>26</v>
      </c>
      <c r="D48" s="60" t="s">
        <v>24</v>
      </c>
      <c r="E48" s="61" t="s">
        <v>27</v>
      </c>
      <c r="F48" s="43">
        <v>4445</v>
      </c>
      <c r="G48" s="46"/>
      <c r="H48" s="46"/>
      <c r="I48" s="46"/>
      <c r="J48" s="46"/>
      <c r="K48" s="47"/>
      <c r="L48" s="46"/>
      <c r="M48" s="46"/>
      <c r="N48" s="46"/>
      <c r="O48" s="46"/>
      <c r="P48" s="44"/>
      <c r="Q48" s="46"/>
      <c r="R48" s="47"/>
      <c r="S48" s="138"/>
      <c r="T48" s="138"/>
      <c r="U48" s="138"/>
      <c r="V48" s="23"/>
      <c r="W48" s="23"/>
      <c r="X48" s="23"/>
      <c r="Y48" s="23"/>
      <c r="Z48" s="23"/>
      <c r="AA48" s="24"/>
    </row>
    <row r="49" spans="1:27" s="18" customFormat="1" ht="35.1" hidden="1" customHeight="1">
      <c r="A49" s="60" t="s">
        <v>38</v>
      </c>
      <c r="B49" s="82" t="s">
        <v>31</v>
      </c>
      <c r="C49" s="60" t="s">
        <v>26</v>
      </c>
      <c r="D49" s="60" t="s">
        <v>24</v>
      </c>
      <c r="E49" s="61" t="s">
        <v>27</v>
      </c>
      <c r="F49" s="43">
        <v>5656</v>
      </c>
      <c r="G49" s="46"/>
      <c r="H49" s="46"/>
      <c r="I49" s="46"/>
      <c r="J49" s="46"/>
      <c r="K49" s="47"/>
      <c r="L49" s="46"/>
      <c r="M49" s="46"/>
      <c r="N49" s="46"/>
      <c r="O49" s="46"/>
      <c r="P49" s="44"/>
      <c r="Q49" s="46"/>
      <c r="R49" s="47"/>
      <c r="S49" s="138"/>
      <c r="T49" s="138"/>
      <c r="U49" s="138"/>
      <c r="V49" s="23"/>
      <c r="W49" s="23"/>
      <c r="X49" s="23"/>
      <c r="Y49" s="23"/>
      <c r="Z49" s="23"/>
      <c r="AA49" s="24"/>
    </row>
    <row r="50" spans="1:27" s="18" customFormat="1" ht="35.1" hidden="1" customHeight="1">
      <c r="A50" s="60" t="s">
        <v>38</v>
      </c>
      <c r="B50" s="80" t="s">
        <v>32</v>
      </c>
      <c r="C50" s="60" t="s">
        <v>26</v>
      </c>
      <c r="D50" s="60" t="s">
        <v>24</v>
      </c>
      <c r="E50" s="61" t="s">
        <v>27</v>
      </c>
      <c r="F50" s="43">
        <v>4237</v>
      </c>
      <c r="G50" s="46"/>
      <c r="H50" s="46"/>
      <c r="I50" s="46"/>
      <c r="J50" s="46"/>
      <c r="K50" s="47"/>
      <c r="L50" s="46"/>
      <c r="M50" s="46"/>
      <c r="N50" s="46"/>
      <c r="O50" s="46"/>
      <c r="P50" s="44"/>
      <c r="Q50" s="46"/>
      <c r="R50" s="47"/>
      <c r="S50" s="138"/>
      <c r="T50" s="138"/>
      <c r="U50" s="138"/>
      <c r="V50" s="23"/>
      <c r="W50" s="23"/>
      <c r="X50" s="23"/>
      <c r="Y50" s="23"/>
      <c r="Z50" s="23"/>
      <c r="AA50" s="24"/>
    </row>
    <row r="51" spans="1:27" s="18" customFormat="1" ht="35.1" hidden="1" customHeight="1">
      <c r="A51" s="60" t="s">
        <v>38</v>
      </c>
      <c r="B51" s="60" t="s">
        <v>25</v>
      </c>
      <c r="C51" s="71" t="s">
        <v>33</v>
      </c>
      <c r="D51" s="60" t="s">
        <v>24</v>
      </c>
      <c r="E51" s="61" t="s">
        <v>27</v>
      </c>
      <c r="F51" s="43">
        <v>3721</v>
      </c>
      <c r="G51" s="46"/>
      <c r="H51" s="46"/>
      <c r="I51" s="46"/>
      <c r="J51" s="46"/>
      <c r="K51" s="47"/>
      <c r="L51" s="46"/>
      <c r="M51" s="46"/>
      <c r="N51" s="46"/>
      <c r="O51" s="46"/>
      <c r="P51" s="44"/>
      <c r="Q51" s="46"/>
      <c r="R51" s="47"/>
      <c r="S51" s="138"/>
      <c r="T51" s="138"/>
      <c r="U51" s="138"/>
      <c r="V51" s="138"/>
      <c r="W51" s="138"/>
      <c r="X51" s="138"/>
      <c r="Y51" s="138"/>
      <c r="Z51" s="138"/>
      <c r="AA51" s="49"/>
    </row>
    <row r="52" spans="1:27" s="18" customFormat="1" ht="35.1" hidden="1" customHeight="1">
      <c r="A52" s="60" t="s">
        <v>38</v>
      </c>
      <c r="B52" s="60" t="s">
        <v>25</v>
      </c>
      <c r="C52" s="73" t="s">
        <v>34</v>
      </c>
      <c r="D52" s="60" t="s">
        <v>24</v>
      </c>
      <c r="E52" s="61" t="s">
        <v>27</v>
      </c>
      <c r="F52" s="43">
        <v>5415</v>
      </c>
      <c r="G52" s="46"/>
      <c r="H52" s="46"/>
      <c r="I52" s="46"/>
      <c r="J52" s="46"/>
      <c r="K52" s="47"/>
      <c r="L52" s="46"/>
      <c r="M52" s="46"/>
      <c r="N52" s="46"/>
      <c r="O52" s="46"/>
      <c r="P52" s="44"/>
      <c r="Q52" s="46"/>
      <c r="R52" s="47"/>
      <c r="S52" s="138"/>
      <c r="T52" s="138"/>
      <c r="U52" s="138"/>
      <c r="V52" s="138"/>
      <c r="W52" s="138"/>
      <c r="X52" s="138"/>
      <c r="Y52" s="138"/>
      <c r="Z52" s="138"/>
      <c r="AA52" s="49"/>
    </row>
    <row r="53" spans="1:27" s="18" customFormat="1" ht="35.1" hidden="1" customHeight="1">
      <c r="A53" s="60" t="s">
        <v>38</v>
      </c>
      <c r="B53" s="60" t="s">
        <v>25</v>
      </c>
      <c r="C53" s="74" t="s">
        <v>35</v>
      </c>
      <c r="D53" s="60" t="s">
        <v>24</v>
      </c>
      <c r="E53" s="61" t="s">
        <v>27</v>
      </c>
      <c r="F53" s="43">
        <v>5030</v>
      </c>
      <c r="G53" s="46"/>
      <c r="H53" s="46"/>
      <c r="I53" s="46"/>
      <c r="J53" s="46"/>
      <c r="K53" s="47"/>
      <c r="L53" s="46"/>
      <c r="M53" s="46"/>
      <c r="N53" s="46"/>
      <c r="O53" s="46"/>
      <c r="P53" s="44"/>
      <c r="Q53" s="46"/>
      <c r="R53" s="47"/>
      <c r="S53" s="138"/>
      <c r="T53" s="138"/>
      <c r="U53" s="138"/>
      <c r="V53" s="138"/>
      <c r="W53" s="138"/>
      <c r="X53" s="138"/>
      <c r="Y53" s="138"/>
      <c r="Z53" s="138"/>
      <c r="AA53" s="49"/>
    </row>
    <row r="54" spans="1:27" s="18" customFormat="1" ht="35.1" hidden="1" customHeight="1">
      <c r="A54" s="60" t="s">
        <v>38</v>
      </c>
      <c r="B54" s="59" t="s">
        <v>29</v>
      </c>
      <c r="C54" s="74" t="s">
        <v>35</v>
      </c>
      <c r="D54" s="60" t="s">
        <v>24</v>
      </c>
      <c r="E54" s="61" t="s">
        <v>27</v>
      </c>
      <c r="F54" s="43">
        <v>1407</v>
      </c>
      <c r="G54" s="46"/>
      <c r="H54" s="46"/>
      <c r="I54" s="46"/>
      <c r="J54" s="46"/>
      <c r="K54" s="47"/>
      <c r="L54" s="46"/>
      <c r="M54" s="46"/>
      <c r="N54" s="46"/>
      <c r="O54" s="46"/>
      <c r="P54" s="46"/>
      <c r="Q54" s="46"/>
      <c r="R54" s="47"/>
      <c r="S54" s="138"/>
      <c r="T54" s="138"/>
      <c r="U54" s="138"/>
      <c r="V54" s="23"/>
      <c r="W54" s="23"/>
      <c r="X54" s="23"/>
      <c r="Y54" s="23"/>
      <c r="Z54" s="23"/>
      <c r="AA54" s="24"/>
    </row>
    <row r="55" spans="1:27" s="18" customFormat="1" ht="35.1" hidden="1" customHeight="1">
      <c r="A55" s="60" t="s">
        <v>38</v>
      </c>
      <c r="B55" s="81" t="s">
        <v>30</v>
      </c>
      <c r="C55" s="74" t="s">
        <v>35</v>
      </c>
      <c r="D55" s="60" t="s">
        <v>24</v>
      </c>
      <c r="E55" s="61" t="s">
        <v>27</v>
      </c>
      <c r="F55" s="43">
        <v>1576</v>
      </c>
      <c r="G55" s="46"/>
      <c r="H55" s="46"/>
      <c r="I55" s="46"/>
      <c r="J55" s="46"/>
      <c r="K55" s="47"/>
      <c r="L55" s="46"/>
      <c r="M55" s="46"/>
      <c r="N55" s="46"/>
      <c r="O55" s="46"/>
      <c r="P55" s="46"/>
      <c r="Q55" s="46"/>
      <c r="R55" s="47"/>
      <c r="S55" s="138"/>
      <c r="T55" s="138"/>
      <c r="U55" s="138"/>
      <c r="V55" s="23"/>
      <c r="W55" s="23"/>
      <c r="X55" s="23"/>
      <c r="Y55" s="23"/>
      <c r="Z55" s="23"/>
      <c r="AA55" s="24"/>
    </row>
    <row r="56" spans="1:27" s="18" customFormat="1" ht="35.1" hidden="1" customHeight="1">
      <c r="A56" s="60" t="s">
        <v>38</v>
      </c>
      <c r="B56" s="82" t="s">
        <v>31</v>
      </c>
      <c r="C56" s="74" t="s">
        <v>35</v>
      </c>
      <c r="D56" s="60" t="s">
        <v>24</v>
      </c>
      <c r="E56" s="61" t="s">
        <v>27</v>
      </c>
      <c r="F56" s="43">
        <v>1185</v>
      </c>
      <c r="G56" s="46"/>
      <c r="H56" s="46"/>
      <c r="I56" s="46"/>
      <c r="J56" s="46"/>
      <c r="K56" s="47"/>
      <c r="L56" s="46"/>
      <c r="M56" s="46"/>
      <c r="N56" s="46"/>
      <c r="O56" s="46"/>
      <c r="P56" s="46"/>
      <c r="Q56" s="46"/>
      <c r="R56" s="47"/>
      <c r="S56" s="138"/>
      <c r="T56" s="138"/>
      <c r="U56" s="138"/>
      <c r="V56" s="31"/>
      <c r="W56" s="31"/>
      <c r="X56" s="31"/>
      <c r="Y56" s="31"/>
      <c r="Z56" s="31"/>
      <c r="AA56" s="32"/>
    </row>
    <row r="57" spans="1:27" s="18" customFormat="1" ht="35.1" hidden="1" customHeight="1">
      <c r="A57" s="60" t="s">
        <v>38</v>
      </c>
      <c r="B57" s="80" t="s">
        <v>32</v>
      </c>
      <c r="C57" s="74" t="s">
        <v>35</v>
      </c>
      <c r="D57" s="60" t="s">
        <v>24</v>
      </c>
      <c r="E57" s="61" t="s">
        <v>27</v>
      </c>
      <c r="F57" s="43">
        <v>862</v>
      </c>
      <c r="G57" s="46"/>
      <c r="H57" s="46"/>
      <c r="I57" s="46"/>
      <c r="J57" s="46"/>
      <c r="K57" s="47"/>
      <c r="L57" s="46"/>
      <c r="M57" s="46"/>
      <c r="N57" s="46"/>
      <c r="O57" s="46"/>
      <c r="P57" s="46"/>
      <c r="Q57" s="46"/>
      <c r="R57" s="47"/>
      <c r="S57" s="138"/>
      <c r="T57" s="138"/>
      <c r="U57" s="138"/>
      <c r="V57" s="36"/>
      <c r="W57" s="36"/>
      <c r="X57" s="36"/>
      <c r="Y57" s="36"/>
      <c r="Z57" s="36"/>
      <c r="AA57" s="19"/>
    </row>
    <row r="58" spans="1:27" s="18" customFormat="1" ht="35.1" hidden="1" customHeight="1">
      <c r="A58" s="60" t="s">
        <v>38</v>
      </c>
      <c r="B58" s="50" t="s">
        <v>25</v>
      </c>
      <c r="C58" s="60" t="s">
        <v>26</v>
      </c>
      <c r="D58" s="77" t="s">
        <v>36</v>
      </c>
      <c r="E58" s="61" t="s">
        <v>27</v>
      </c>
      <c r="F58" s="43">
        <v>15428</v>
      </c>
      <c r="G58" s="46"/>
      <c r="H58" s="46"/>
      <c r="I58" s="46"/>
      <c r="J58" s="46"/>
      <c r="K58" s="47"/>
      <c r="L58" s="46"/>
      <c r="M58" s="46"/>
      <c r="N58" s="46"/>
      <c r="O58" s="46"/>
      <c r="P58" s="44"/>
      <c r="Q58" s="46"/>
      <c r="R58" s="47"/>
      <c r="S58" s="140"/>
      <c r="T58" s="138"/>
      <c r="U58" s="138"/>
      <c r="V58" s="31"/>
      <c r="W58" s="31"/>
      <c r="X58" s="31"/>
      <c r="Y58" s="31"/>
      <c r="Z58" s="31"/>
      <c r="AA58" s="32"/>
    </row>
    <row r="59" spans="1:27" s="18" customFormat="1" ht="35.1" hidden="1" customHeight="1">
      <c r="A59" s="60" t="s">
        <v>38</v>
      </c>
      <c r="B59" s="59" t="s">
        <v>29</v>
      </c>
      <c r="C59" s="60" t="s">
        <v>26</v>
      </c>
      <c r="D59" s="77" t="s">
        <v>36</v>
      </c>
      <c r="E59" s="61" t="s">
        <v>27</v>
      </c>
      <c r="F59" s="43">
        <v>3485</v>
      </c>
      <c r="G59" s="46"/>
      <c r="H59" s="46"/>
      <c r="I59" s="46"/>
      <c r="J59" s="46"/>
      <c r="K59" s="47"/>
      <c r="L59" s="46"/>
      <c r="M59" s="46"/>
      <c r="N59" s="46"/>
      <c r="O59" s="46"/>
      <c r="P59" s="46"/>
      <c r="Q59" s="46"/>
      <c r="R59" s="47"/>
      <c r="S59" s="138"/>
      <c r="T59" s="138"/>
      <c r="U59" s="138"/>
      <c r="V59" s="36"/>
      <c r="W59" s="36"/>
      <c r="X59" s="36"/>
      <c r="Y59" s="36"/>
      <c r="Z59" s="36"/>
      <c r="AA59" s="19"/>
    </row>
    <row r="60" spans="1:27" s="18" customFormat="1" ht="35.1" hidden="1" customHeight="1">
      <c r="A60" s="60" t="s">
        <v>38</v>
      </c>
      <c r="B60" s="81" t="s">
        <v>30</v>
      </c>
      <c r="C60" s="60" t="s">
        <v>26</v>
      </c>
      <c r="D60" s="77" t="s">
        <v>36</v>
      </c>
      <c r="E60" s="61" t="s">
        <v>27</v>
      </c>
      <c r="F60" s="43">
        <v>3725</v>
      </c>
      <c r="G60" s="174"/>
      <c r="H60" s="174"/>
      <c r="I60" s="174"/>
      <c r="J60" s="174"/>
      <c r="K60" s="175"/>
      <c r="L60" s="174"/>
      <c r="M60" s="174"/>
      <c r="N60" s="174"/>
      <c r="O60" s="174"/>
      <c r="P60" s="46"/>
      <c r="Q60" s="46"/>
      <c r="R60" s="47"/>
      <c r="S60" s="138"/>
      <c r="T60" s="138"/>
      <c r="U60" s="138"/>
      <c r="V60" s="31"/>
      <c r="W60" s="31"/>
      <c r="X60" s="31"/>
      <c r="Y60" s="31"/>
      <c r="Z60" s="31"/>
      <c r="AA60" s="32"/>
    </row>
    <row r="61" spans="1:27" s="18" customFormat="1" ht="35.1" hidden="1" customHeight="1">
      <c r="A61" s="60" t="s">
        <v>38</v>
      </c>
      <c r="B61" s="82" t="s">
        <v>31</v>
      </c>
      <c r="C61" s="60" t="s">
        <v>26</v>
      </c>
      <c r="D61" s="77" t="s">
        <v>36</v>
      </c>
      <c r="E61" s="61" t="s">
        <v>27</v>
      </c>
      <c r="F61" s="43">
        <v>4730</v>
      </c>
      <c r="G61" s="46"/>
      <c r="H61" s="46"/>
      <c r="I61" s="46"/>
      <c r="J61" s="46"/>
      <c r="K61" s="47"/>
      <c r="L61" s="46"/>
      <c r="M61" s="46"/>
      <c r="N61" s="46"/>
      <c r="O61" s="46"/>
      <c r="P61" s="46"/>
      <c r="Q61" s="46"/>
      <c r="R61" s="47"/>
      <c r="S61" s="138"/>
      <c r="T61" s="138"/>
      <c r="U61" s="138"/>
      <c r="V61" s="36"/>
      <c r="W61" s="36"/>
      <c r="X61" s="36"/>
      <c r="Y61" s="36"/>
      <c r="Z61" s="36"/>
      <c r="AA61" s="19"/>
    </row>
    <row r="62" spans="1:27" s="18" customFormat="1" ht="35.1" hidden="1" customHeight="1">
      <c r="A62" s="60" t="s">
        <v>38</v>
      </c>
      <c r="B62" s="80" t="s">
        <v>32</v>
      </c>
      <c r="C62" s="60" t="s">
        <v>26</v>
      </c>
      <c r="D62" s="77" t="s">
        <v>36</v>
      </c>
      <c r="E62" s="61" t="s">
        <v>27</v>
      </c>
      <c r="F62" s="43">
        <v>3488</v>
      </c>
      <c r="G62" s="46"/>
      <c r="H62" s="46"/>
      <c r="I62" s="46"/>
      <c r="J62" s="46"/>
      <c r="K62" s="47"/>
      <c r="L62" s="46"/>
      <c r="M62" s="46"/>
      <c r="N62" s="46"/>
      <c r="O62" s="46"/>
      <c r="P62" s="46"/>
      <c r="Q62" s="46"/>
      <c r="R62" s="47"/>
      <c r="S62" s="138"/>
      <c r="T62" s="138"/>
      <c r="U62" s="138"/>
      <c r="V62" s="23"/>
      <c r="W62" s="23"/>
      <c r="X62" s="23"/>
      <c r="Y62" s="23"/>
      <c r="Z62" s="23"/>
      <c r="AA62" s="24"/>
    </row>
    <row r="63" spans="1:27" s="18" customFormat="1" ht="35.1" hidden="1" customHeight="1">
      <c r="A63" s="60" t="s">
        <v>38</v>
      </c>
      <c r="B63" s="50" t="s">
        <v>25</v>
      </c>
      <c r="C63" s="60" t="s">
        <v>26</v>
      </c>
      <c r="D63" s="78" t="s">
        <v>37</v>
      </c>
      <c r="E63" s="61" t="s">
        <v>27</v>
      </c>
      <c r="F63" s="43">
        <v>3159</v>
      </c>
      <c r="G63" s="46"/>
      <c r="H63" s="46"/>
      <c r="I63" s="46"/>
      <c r="J63" s="46"/>
      <c r="K63" s="47"/>
      <c r="L63" s="46"/>
      <c r="M63" s="46"/>
      <c r="N63" s="46"/>
      <c r="O63" s="46"/>
      <c r="P63" s="44"/>
      <c r="Q63" s="46"/>
      <c r="R63" s="47"/>
      <c r="S63" s="138"/>
      <c r="T63" s="138"/>
      <c r="U63" s="138"/>
      <c r="V63" s="138"/>
      <c r="W63" s="138"/>
      <c r="X63" s="138"/>
      <c r="Y63" s="138"/>
      <c r="Z63" s="138"/>
      <c r="AA63" s="49"/>
    </row>
    <row r="64" spans="1:27" s="18" customFormat="1" ht="35.1" hidden="1" customHeight="1">
      <c r="A64" s="60" t="s">
        <v>38</v>
      </c>
      <c r="B64" s="59" t="s">
        <v>29</v>
      </c>
      <c r="C64" s="60" t="s">
        <v>26</v>
      </c>
      <c r="D64" s="78" t="s">
        <v>37</v>
      </c>
      <c r="E64" s="61" t="s">
        <v>27</v>
      </c>
      <c r="F64" s="43">
        <v>764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138"/>
      <c r="T64" s="138"/>
      <c r="U64" s="138"/>
      <c r="V64" s="23"/>
      <c r="W64" s="23"/>
      <c r="X64" s="23"/>
      <c r="Y64" s="23"/>
      <c r="Z64" s="23"/>
    </row>
    <row r="65" spans="1:27" s="18" customFormat="1" ht="35.1" hidden="1" customHeight="1">
      <c r="A65" s="60" t="s">
        <v>38</v>
      </c>
      <c r="B65" s="81" t="s">
        <v>30</v>
      </c>
      <c r="C65" s="60" t="s">
        <v>26</v>
      </c>
      <c r="D65" s="78" t="s">
        <v>37</v>
      </c>
      <c r="E65" s="61" t="s">
        <v>27</v>
      </c>
      <c r="F65" s="43">
        <v>720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138"/>
      <c r="T65" s="138"/>
      <c r="U65" s="138"/>
      <c r="V65" s="23"/>
      <c r="W65" s="23"/>
      <c r="X65" s="23"/>
      <c r="Y65" s="23"/>
      <c r="Z65" s="23"/>
    </row>
    <row r="66" spans="1:27" s="18" customFormat="1" ht="35.1" hidden="1" customHeight="1">
      <c r="A66" s="60" t="s">
        <v>38</v>
      </c>
      <c r="B66" s="82" t="s">
        <v>31</v>
      </c>
      <c r="C66" s="60" t="s">
        <v>26</v>
      </c>
      <c r="D66" s="78" t="s">
        <v>37</v>
      </c>
      <c r="E66" s="61" t="s">
        <v>27</v>
      </c>
      <c r="F66" s="43">
        <v>926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138"/>
      <c r="T66" s="138"/>
      <c r="U66" s="138"/>
      <c r="V66" s="23"/>
      <c r="W66" s="23"/>
      <c r="X66" s="23"/>
      <c r="Y66" s="23"/>
      <c r="Z66" s="23"/>
    </row>
    <row r="67" spans="1:27" s="18" customFormat="1" ht="35.1" hidden="1" customHeight="1">
      <c r="A67" s="60" t="s">
        <v>38</v>
      </c>
      <c r="B67" s="80" t="s">
        <v>32</v>
      </c>
      <c r="C67" s="60" t="s">
        <v>26</v>
      </c>
      <c r="D67" s="78" t="s">
        <v>37</v>
      </c>
      <c r="E67" s="61" t="s">
        <v>27</v>
      </c>
      <c r="F67" s="43">
        <v>749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138"/>
      <c r="T67" s="138"/>
      <c r="U67" s="138"/>
      <c r="V67" s="23"/>
      <c r="W67" s="23"/>
      <c r="X67" s="23"/>
      <c r="Y67" s="23"/>
      <c r="Z67" s="23"/>
    </row>
    <row r="68" spans="1:27" s="18" customFormat="1" ht="35.1" hidden="1" customHeight="1">
      <c r="A68" s="52" t="s">
        <v>38</v>
      </c>
      <c r="B68" s="51" t="s">
        <v>25</v>
      </c>
      <c r="C68" s="52" t="s">
        <v>26</v>
      </c>
      <c r="D68" s="52" t="s">
        <v>24</v>
      </c>
      <c r="E68" s="65" t="s">
        <v>28</v>
      </c>
      <c r="F68" s="137">
        <v>18587</v>
      </c>
      <c r="G68" s="169"/>
      <c r="H68" s="169"/>
      <c r="I68" s="169"/>
      <c r="J68" s="169"/>
      <c r="K68" s="170"/>
      <c r="L68" s="169"/>
      <c r="M68" s="169"/>
      <c r="N68" s="169"/>
      <c r="O68" s="169"/>
      <c r="P68" s="169"/>
      <c r="Q68" s="171"/>
      <c r="R68" s="172"/>
      <c r="S68" s="173"/>
      <c r="T68" s="139"/>
      <c r="U68" s="139"/>
      <c r="V68" s="15"/>
      <c r="W68" s="15"/>
      <c r="X68" s="15"/>
      <c r="Y68" s="15"/>
      <c r="Z68" s="16"/>
      <c r="AA68" s="17"/>
    </row>
    <row r="69" spans="1:27" s="18" customFormat="1" ht="35.1" hidden="1" customHeight="1">
      <c r="A69" s="60" t="s">
        <v>38</v>
      </c>
      <c r="B69" s="59" t="s">
        <v>29</v>
      </c>
      <c r="C69" s="60" t="s">
        <v>26</v>
      </c>
      <c r="D69" s="60" t="s">
        <v>24</v>
      </c>
      <c r="E69" s="65" t="s">
        <v>28</v>
      </c>
      <c r="F69" s="43">
        <v>4249</v>
      </c>
      <c r="G69" s="46"/>
      <c r="H69" s="46"/>
      <c r="I69" s="46"/>
      <c r="J69" s="46"/>
      <c r="K69" s="47"/>
      <c r="L69" s="46"/>
      <c r="M69" s="46"/>
      <c r="N69" s="46"/>
      <c r="O69" s="46"/>
      <c r="P69" s="44"/>
      <c r="Q69" s="46"/>
      <c r="R69" s="47"/>
      <c r="S69" s="138"/>
      <c r="T69" s="138"/>
      <c r="U69" s="138"/>
      <c r="V69" s="36"/>
      <c r="W69" s="36"/>
      <c r="X69" s="36"/>
      <c r="Y69" s="36"/>
      <c r="Z69" s="37"/>
      <c r="AA69" s="19"/>
    </row>
    <row r="70" spans="1:27" s="18" customFormat="1" ht="35.1" hidden="1" customHeight="1">
      <c r="A70" s="60" t="s">
        <v>38</v>
      </c>
      <c r="B70" s="81" t="s">
        <v>30</v>
      </c>
      <c r="C70" s="60" t="s">
        <v>26</v>
      </c>
      <c r="D70" s="60" t="s">
        <v>24</v>
      </c>
      <c r="E70" s="65" t="s">
        <v>28</v>
      </c>
      <c r="F70" s="43">
        <v>4445</v>
      </c>
      <c r="G70" s="46"/>
      <c r="H70" s="46"/>
      <c r="I70" s="46"/>
      <c r="J70" s="46"/>
      <c r="K70" s="47"/>
      <c r="L70" s="46"/>
      <c r="M70" s="46"/>
      <c r="N70" s="46"/>
      <c r="O70" s="46"/>
      <c r="P70" s="44"/>
      <c r="Q70" s="46"/>
      <c r="R70" s="47"/>
      <c r="S70" s="138"/>
      <c r="T70" s="138"/>
      <c r="U70" s="138"/>
      <c r="V70" s="23"/>
      <c r="W70" s="23"/>
      <c r="X70" s="23"/>
      <c r="Y70" s="23"/>
      <c r="Z70" s="23"/>
      <c r="AA70" s="24"/>
    </row>
    <row r="71" spans="1:27" s="18" customFormat="1" ht="35.1" hidden="1" customHeight="1">
      <c r="A71" s="60" t="s">
        <v>38</v>
      </c>
      <c r="B71" s="82" t="s">
        <v>31</v>
      </c>
      <c r="C71" s="60" t="s">
        <v>26</v>
      </c>
      <c r="D71" s="60" t="s">
        <v>24</v>
      </c>
      <c r="E71" s="65" t="s">
        <v>28</v>
      </c>
      <c r="F71" s="43">
        <v>5656</v>
      </c>
      <c r="G71" s="46"/>
      <c r="H71" s="46"/>
      <c r="I71" s="46"/>
      <c r="J71" s="46"/>
      <c r="K71" s="47"/>
      <c r="L71" s="46"/>
      <c r="M71" s="46"/>
      <c r="N71" s="46"/>
      <c r="O71" s="46"/>
      <c r="P71" s="44"/>
      <c r="Q71" s="46"/>
      <c r="R71" s="47"/>
      <c r="S71" s="138"/>
      <c r="T71" s="138"/>
      <c r="U71" s="138"/>
      <c r="V71" s="23"/>
      <c r="W71" s="23"/>
      <c r="X71" s="23"/>
      <c r="Y71" s="23"/>
      <c r="Z71" s="23"/>
      <c r="AA71" s="24"/>
    </row>
    <row r="72" spans="1:27" s="18" customFormat="1" ht="35.1" hidden="1" customHeight="1">
      <c r="A72" s="60" t="s">
        <v>38</v>
      </c>
      <c r="B72" s="80" t="s">
        <v>32</v>
      </c>
      <c r="C72" s="60" t="s">
        <v>26</v>
      </c>
      <c r="D72" s="60" t="s">
        <v>24</v>
      </c>
      <c r="E72" s="65" t="s">
        <v>28</v>
      </c>
      <c r="F72" s="43">
        <v>4237</v>
      </c>
      <c r="G72" s="46"/>
      <c r="H72" s="46"/>
      <c r="I72" s="46"/>
      <c r="J72" s="46"/>
      <c r="K72" s="47"/>
      <c r="L72" s="46"/>
      <c r="M72" s="46"/>
      <c r="N72" s="46"/>
      <c r="O72" s="46"/>
      <c r="P72" s="44"/>
      <c r="Q72" s="46"/>
      <c r="R72" s="47"/>
      <c r="S72" s="138"/>
      <c r="T72" s="138"/>
      <c r="U72" s="138"/>
      <c r="V72" s="23"/>
      <c r="W72" s="23"/>
      <c r="X72" s="23"/>
      <c r="Y72" s="23"/>
      <c r="Z72" s="23"/>
      <c r="AA72" s="24"/>
    </row>
    <row r="73" spans="1:27" s="18" customFormat="1" ht="35.1" hidden="1" customHeight="1">
      <c r="A73" s="60" t="s">
        <v>38</v>
      </c>
      <c r="B73" s="60" t="s">
        <v>25</v>
      </c>
      <c r="C73" s="71" t="s">
        <v>33</v>
      </c>
      <c r="D73" s="60" t="s">
        <v>24</v>
      </c>
      <c r="E73" s="65" t="s">
        <v>28</v>
      </c>
      <c r="F73" s="43">
        <v>3721</v>
      </c>
      <c r="G73" s="46"/>
      <c r="H73" s="46"/>
      <c r="I73" s="46"/>
      <c r="J73" s="46"/>
      <c r="K73" s="47"/>
      <c r="L73" s="46"/>
      <c r="M73" s="46"/>
      <c r="N73" s="46"/>
      <c r="O73" s="46"/>
      <c r="P73" s="44"/>
      <c r="Q73" s="46"/>
      <c r="R73" s="47"/>
      <c r="S73" s="138"/>
      <c r="T73" s="138"/>
      <c r="U73" s="138"/>
      <c r="V73" s="138"/>
      <c r="W73" s="138"/>
      <c r="X73" s="138"/>
      <c r="Y73" s="138"/>
      <c r="Z73" s="138"/>
      <c r="AA73" s="49"/>
    </row>
    <row r="74" spans="1:27" s="18" customFormat="1" ht="35.1" hidden="1" customHeight="1">
      <c r="A74" s="60" t="s">
        <v>38</v>
      </c>
      <c r="B74" s="60" t="s">
        <v>25</v>
      </c>
      <c r="C74" s="73" t="s">
        <v>34</v>
      </c>
      <c r="D74" s="60" t="s">
        <v>24</v>
      </c>
      <c r="E74" s="65" t="s">
        <v>28</v>
      </c>
      <c r="F74" s="43">
        <v>5415</v>
      </c>
      <c r="G74" s="46"/>
      <c r="H74" s="46"/>
      <c r="I74" s="46"/>
      <c r="J74" s="46"/>
      <c r="K74" s="47"/>
      <c r="L74" s="46"/>
      <c r="M74" s="46"/>
      <c r="N74" s="46"/>
      <c r="O74" s="46"/>
      <c r="P74" s="44"/>
      <c r="Q74" s="46"/>
      <c r="R74" s="47"/>
      <c r="S74" s="138"/>
      <c r="T74" s="138"/>
      <c r="U74" s="138"/>
      <c r="V74" s="138"/>
      <c r="W74" s="138"/>
      <c r="X74" s="138"/>
      <c r="Y74" s="138"/>
      <c r="Z74" s="138"/>
      <c r="AA74" s="49"/>
    </row>
    <row r="75" spans="1:27" s="18" customFormat="1" ht="35.1" hidden="1" customHeight="1">
      <c r="A75" s="60" t="s">
        <v>38</v>
      </c>
      <c r="B75" s="60" t="s">
        <v>25</v>
      </c>
      <c r="C75" s="74" t="s">
        <v>35</v>
      </c>
      <c r="D75" s="60" t="s">
        <v>24</v>
      </c>
      <c r="E75" s="65" t="s">
        <v>28</v>
      </c>
      <c r="F75" s="43">
        <v>5030</v>
      </c>
      <c r="G75" s="46"/>
      <c r="H75" s="46"/>
      <c r="I75" s="46"/>
      <c r="J75" s="46"/>
      <c r="K75" s="47"/>
      <c r="L75" s="46"/>
      <c r="M75" s="46"/>
      <c r="N75" s="46"/>
      <c r="O75" s="46"/>
      <c r="P75" s="44"/>
      <c r="Q75" s="46"/>
      <c r="R75" s="47"/>
      <c r="S75" s="138"/>
      <c r="T75" s="138"/>
      <c r="U75" s="138"/>
      <c r="V75" s="138"/>
      <c r="W75" s="138"/>
      <c r="X75" s="138"/>
      <c r="Y75" s="138"/>
      <c r="Z75" s="138"/>
      <c r="AA75" s="49"/>
    </row>
    <row r="76" spans="1:27" s="18" customFormat="1" ht="35.1" hidden="1" customHeight="1">
      <c r="A76" s="60" t="s">
        <v>38</v>
      </c>
      <c r="B76" s="59" t="s">
        <v>29</v>
      </c>
      <c r="C76" s="74" t="s">
        <v>35</v>
      </c>
      <c r="D76" s="60" t="s">
        <v>24</v>
      </c>
      <c r="E76" s="65" t="s">
        <v>28</v>
      </c>
      <c r="F76" s="43">
        <v>1407</v>
      </c>
      <c r="G76" s="46"/>
      <c r="H76" s="46"/>
      <c r="I76" s="46"/>
      <c r="J76" s="46"/>
      <c r="K76" s="47"/>
      <c r="L76" s="46"/>
      <c r="M76" s="46"/>
      <c r="N76" s="46"/>
      <c r="O76" s="46"/>
      <c r="P76" s="46"/>
      <c r="Q76" s="46"/>
      <c r="R76" s="47"/>
      <c r="S76" s="138"/>
      <c r="T76" s="138"/>
      <c r="U76" s="138"/>
      <c r="V76" s="23"/>
      <c r="W76" s="23"/>
      <c r="X76" s="23"/>
      <c r="Y76" s="23"/>
      <c r="Z76" s="23"/>
      <c r="AA76" s="24"/>
    </row>
    <row r="77" spans="1:27" s="18" customFormat="1" ht="35.1" hidden="1" customHeight="1">
      <c r="A77" s="60" t="s">
        <v>38</v>
      </c>
      <c r="B77" s="81" t="s">
        <v>30</v>
      </c>
      <c r="C77" s="74" t="s">
        <v>35</v>
      </c>
      <c r="D77" s="60" t="s">
        <v>24</v>
      </c>
      <c r="E77" s="65" t="s">
        <v>28</v>
      </c>
      <c r="F77" s="43">
        <v>1576</v>
      </c>
      <c r="G77" s="46"/>
      <c r="H77" s="46"/>
      <c r="I77" s="46"/>
      <c r="J77" s="46"/>
      <c r="K77" s="47"/>
      <c r="L77" s="46"/>
      <c r="M77" s="46"/>
      <c r="N77" s="46"/>
      <c r="O77" s="46"/>
      <c r="P77" s="46"/>
      <c r="Q77" s="46"/>
      <c r="R77" s="47"/>
      <c r="S77" s="138"/>
      <c r="T77" s="138"/>
      <c r="U77" s="138"/>
      <c r="V77" s="23"/>
      <c r="W77" s="23"/>
      <c r="X77" s="23"/>
      <c r="Y77" s="23"/>
      <c r="Z77" s="23"/>
      <c r="AA77" s="24"/>
    </row>
    <row r="78" spans="1:27" s="18" customFormat="1" ht="35.1" hidden="1" customHeight="1">
      <c r="A78" s="60" t="s">
        <v>38</v>
      </c>
      <c r="B78" s="82" t="s">
        <v>31</v>
      </c>
      <c r="C78" s="74" t="s">
        <v>35</v>
      </c>
      <c r="D78" s="60" t="s">
        <v>24</v>
      </c>
      <c r="E78" s="65" t="s">
        <v>28</v>
      </c>
      <c r="F78" s="43">
        <v>1185</v>
      </c>
      <c r="G78" s="46"/>
      <c r="H78" s="46"/>
      <c r="I78" s="46"/>
      <c r="J78" s="46"/>
      <c r="K78" s="47"/>
      <c r="L78" s="46"/>
      <c r="M78" s="46"/>
      <c r="N78" s="46"/>
      <c r="O78" s="46"/>
      <c r="P78" s="46"/>
      <c r="Q78" s="46"/>
      <c r="R78" s="47"/>
      <c r="S78" s="138"/>
      <c r="T78" s="138"/>
      <c r="U78" s="138"/>
      <c r="V78" s="31"/>
      <c r="W78" s="31"/>
      <c r="X78" s="31"/>
      <c r="Y78" s="31"/>
      <c r="Z78" s="31"/>
      <c r="AA78" s="32"/>
    </row>
    <row r="79" spans="1:27" s="18" customFormat="1" ht="35.1" hidden="1" customHeight="1">
      <c r="A79" s="60" t="s">
        <v>38</v>
      </c>
      <c r="B79" s="80" t="s">
        <v>32</v>
      </c>
      <c r="C79" s="74" t="s">
        <v>35</v>
      </c>
      <c r="D79" s="60" t="s">
        <v>24</v>
      </c>
      <c r="E79" s="65" t="s">
        <v>28</v>
      </c>
      <c r="F79" s="43">
        <v>862</v>
      </c>
      <c r="G79" s="46"/>
      <c r="H79" s="46"/>
      <c r="I79" s="46"/>
      <c r="J79" s="46"/>
      <c r="K79" s="47"/>
      <c r="L79" s="46"/>
      <c r="M79" s="46"/>
      <c r="N79" s="46"/>
      <c r="O79" s="46"/>
      <c r="P79" s="46"/>
      <c r="Q79" s="46"/>
      <c r="R79" s="47"/>
      <c r="S79" s="138"/>
      <c r="T79" s="138"/>
      <c r="U79" s="138"/>
      <c r="V79" s="36"/>
      <c r="W79" s="36"/>
      <c r="X79" s="36"/>
      <c r="Y79" s="36"/>
      <c r="Z79" s="36"/>
      <c r="AA79" s="19"/>
    </row>
    <row r="80" spans="1:27" s="18" customFormat="1" ht="35.1" hidden="1" customHeight="1">
      <c r="A80" s="60" t="s">
        <v>38</v>
      </c>
      <c r="B80" s="50" t="s">
        <v>25</v>
      </c>
      <c r="C80" s="60" t="s">
        <v>26</v>
      </c>
      <c r="D80" s="77" t="s">
        <v>36</v>
      </c>
      <c r="E80" s="65" t="s">
        <v>28</v>
      </c>
      <c r="F80" s="43">
        <v>15428</v>
      </c>
      <c r="G80" s="46"/>
      <c r="H80" s="46"/>
      <c r="I80" s="46"/>
      <c r="J80" s="46"/>
      <c r="K80" s="47"/>
      <c r="L80" s="46"/>
      <c r="M80" s="46"/>
      <c r="N80" s="46"/>
      <c r="O80" s="46"/>
      <c r="P80" s="44"/>
      <c r="Q80" s="46"/>
      <c r="R80" s="47"/>
      <c r="S80" s="140"/>
      <c r="T80" s="138"/>
      <c r="U80" s="138"/>
      <c r="V80" s="31"/>
      <c r="W80" s="31"/>
      <c r="X80" s="31"/>
      <c r="Y80" s="31"/>
      <c r="Z80" s="31"/>
      <c r="AA80" s="32"/>
    </row>
    <row r="81" spans="1:27" s="18" customFormat="1" ht="35.1" hidden="1" customHeight="1">
      <c r="A81" s="60" t="s">
        <v>38</v>
      </c>
      <c r="B81" s="59" t="s">
        <v>29</v>
      </c>
      <c r="C81" s="60" t="s">
        <v>26</v>
      </c>
      <c r="D81" s="77" t="s">
        <v>36</v>
      </c>
      <c r="E81" s="65" t="s">
        <v>28</v>
      </c>
      <c r="F81" s="43">
        <v>3485</v>
      </c>
      <c r="G81" s="46"/>
      <c r="H81" s="46"/>
      <c r="I81" s="46"/>
      <c r="J81" s="46"/>
      <c r="K81" s="47"/>
      <c r="L81" s="46"/>
      <c r="M81" s="46"/>
      <c r="N81" s="46"/>
      <c r="O81" s="46"/>
      <c r="P81" s="46"/>
      <c r="Q81" s="46"/>
      <c r="R81" s="47"/>
      <c r="S81" s="138"/>
      <c r="T81" s="138"/>
      <c r="U81" s="138"/>
      <c r="V81" s="36"/>
      <c r="W81" s="36"/>
      <c r="X81" s="36"/>
      <c r="Y81" s="36"/>
      <c r="Z81" s="36"/>
      <c r="AA81" s="19"/>
    </row>
    <row r="82" spans="1:27" s="18" customFormat="1" ht="35.1" hidden="1" customHeight="1">
      <c r="A82" s="60" t="s">
        <v>38</v>
      </c>
      <c r="B82" s="81" t="s">
        <v>30</v>
      </c>
      <c r="C82" s="60" t="s">
        <v>26</v>
      </c>
      <c r="D82" s="77" t="s">
        <v>36</v>
      </c>
      <c r="E82" s="65" t="s">
        <v>28</v>
      </c>
      <c r="F82" s="43">
        <v>3725</v>
      </c>
      <c r="G82" s="174"/>
      <c r="H82" s="174"/>
      <c r="I82" s="174"/>
      <c r="J82" s="174"/>
      <c r="K82" s="175"/>
      <c r="L82" s="174"/>
      <c r="M82" s="174"/>
      <c r="N82" s="174"/>
      <c r="O82" s="174"/>
      <c r="P82" s="46"/>
      <c r="Q82" s="46"/>
      <c r="R82" s="47"/>
      <c r="S82" s="138"/>
      <c r="T82" s="138"/>
      <c r="U82" s="138"/>
      <c r="V82" s="31"/>
      <c r="W82" s="31"/>
      <c r="X82" s="31"/>
      <c r="Y82" s="31"/>
      <c r="Z82" s="31"/>
      <c r="AA82" s="32"/>
    </row>
    <row r="83" spans="1:27" s="18" customFormat="1" ht="35.1" hidden="1" customHeight="1">
      <c r="A83" s="60" t="s">
        <v>38</v>
      </c>
      <c r="B83" s="82" t="s">
        <v>31</v>
      </c>
      <c r="C83" s="60" t="s">
        <v>26</v>
      </c>
      <c r="D83" s="77" t="s">
        <v>36</v>
      </c>
      <c r="E83" s="65" t="s">
        <v>28</v>
      </c>
      <c r="F83" s="43">
        <v>4730</v>
      </c>
      <c r="G83" s="46"/>
      <c r="H83" s="46"/>
      <c r="I83" s="46"/>
      <c r="J83" s="46"/>
      <c r="K83" s="47"/>
      <c r="L83" s="46"/>
      <c r="M83" s="46"/>
      <c r="N83" s="46"/>
      <c r="O83" s="46"/>
      <c r="P83" s="46"/>
      <c r="Q83" s="46"/>
      <c r="R83" s="47"/>
      <c r="S83" s="138"/>
      <c r="T83" s="138"/>
      <c r="U83" s="138"/>
      <c r="V83" s="36"/>
      <c r="W83" s="36"/>
      <c r="X83" s="36"/>
      <c r="Y83" s="36"/>
      <c r="Z83" s="36"/>
      <c r="AA83" s="19"/>
    </row>
    <row r="84" spans="1:27" s="18" customFormat="1" ht="35.1" hidden="1" customHeight="1">
      <c r="A84" s="60" t="s">
        <v>38</v>
      </c>
      <c r="B84" s="80" t="s">
        <v>32</v>
      </c>
      <c r="C84" s="60" t="s">
        <v>26</v>
      </c>
      <c r="D84" s="77" t="s">
        <v>36</v>
      </c>
      <c r="E84" s="65" t="s">
        <v>28</v>
      </c>
      <c r="F84" s="43">
        <v>3488</v>
      </c>
      <c r="G84" s="46"/>
      <c r="H84" s="46"/>
      <c r="I84" s="46"/>
      <c r="J84" s="46"/>
      <c r="K84" s="47"/>
      <c r="L84" s="46"/>
      <c r="M84" s="46"/>
      <c r="N84" s="46"/>
      <c r="O84" s="46"/>
      <c r="P84" s="46"/>
      <c r="Q84" s="46"/>
      <c r="R84" s="47"/>
      <c r="S84" s="138"/>
      <c r="T84" s="138"/>
      <c r="U84" s="138"/>
      <c r="V84" s="23"/>
      <c r="W84" s="23"/>
      <c r="X84" s="23"/>
      <c r="Y84" s="23"/>
      <c r="Z84" s="23"/>
      <c r="AA84" s="24"/>
    </row>
    <row r="85" spans="1:27" s="18" customFormat="1" ht="35.1" hidden="1" customHeight="1">
      <c r="A85" s="60" t="s">
        <v>38</v>
      </c>
      <c r="B85" s="50" t="s">
        <v>25</v>
      </c>
      <c r="C85" s="60" t="s">
        <v>26</v>
      </c>
      <c r="D85" s="78" t="s">
        <v>37</v>
      </c>
      <c r="E85" s="65" t="s">
        <v>28</v>
      </c>
      <c r="F85" s="43">
        <v>3159</v>
      </c>
      <c r="G85" s="46"/>
      <c r="H85" s="46"/>
      <c r="I85" s="46"/>
      <c r="J85" s="46"/>
      <c r="K85" s="47"/>
      <c r="L85" s="46"/>
      <c r="M85" s="46"/>
      <c r="N85" s="46"/>
      <c r="O85" s="46"/>
      <c r="P85" s="44"/>
      <c r="Q85" s="46"/>
      <c r="R85" s="47"/>
      <c r="S85" s="138"/>
      <c r="T85" s="138"/>
      <c r="U85" s="138"/>
      <c r="V85" s="138"/>
      <c r="W85" s="138"/>
      <c r="X85" s="138"/>
      <c r="Y85" s="138"/>
      <c r="Z85" s="138"/>
      <c r="AA85" s="49"/>
    </row>
    <row r="86" spans="1:27" s="18" customFormat="1" ht="35.1" hidden="1" customHeight="1">
      <c r="A86" s="60" t="s">
        <v>38</v>
      </c>
      <c r="B86" s="59" t="s">
        <v>29</v>
      </c>
      <c r="C86" s="60" t="s">
        <v>26</v>
      </c>
      <c r="D86" s="78" t="s">
        <v>37</v>
      </c>
      <c r="E86" s="65" t="s">
        <v>28</v>
      </c>
      <c r="F86" s="43">
        <v>764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138"/>
      <c r="T86" s="138"/>
      <c r="U86" s="138"/>
      <c r="V86" s="23"/>
      <c r="W86" s="23"/>
      <c r="X86" s="23"/>
      <c r="Y86" s="23"/>
      <c r="Z86" s="23"/>
    </row>
    <row r="87" spans="1:27" s="18" customFormat="1" ht="35.1" hidden="1" customHeight="1">
      <c r="A87" s="60" t="s">
        <v>38</v>
      </c>
      <c r="B87" s="81" t="s">
        <v>30</v>
      </c>
      <c r="C87" s="60" t="s">
        <v>26</v>
      </c>
      <c r="D87" s="78" t="s">
        <v>37</v>
      </c>
      <c r="E87" s="65" t="s">
        <v>28</v>
      </c>
      <c r="F87" s="43">
        <v>720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138"/>
      <c r="T87" s="138"/>
      <c r="U87" s="138"/>
      <c r="V87" s="23"/>
      <c r="W87" s="23"/>
      <c r="X87" s="23"/>
      <c r="Y87" s="23"/>
      <c r="Z87" s="23"/>
    </row>
    <row r="88" spans="1:27" s="18" customFormat="1" ht="35.1" hidden="1" customHeight="1">
      <c r="A88" s="60" t="s">
        <v>38</v>
      </c>
      <c r="B88" s="82" t="s">
        <v>31</v>
      </c>
      <c r="C88" s="60" t="s">
        <v>26</v>
      </c>
      <c r="D88" s="78" t="s">
        <v>37</v>
      </c>
      <c r="E88" s="65" t="s">
        <v>28</v>
      </c>
      <c r="F88" s="43">
        <v>926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138"/>
      <c r="T88" s="138"/>
      <c r="U88" s="138"/>
      <c r="V88" s="23"/>
      <c r="W88" s="23"/>
      <c r="X88" s="23"/>
      <c r="Y88" s="23"/>
      <c r="Z88" s="23"/>
    </row>
    <row r="89" spans="1:27" s="18" customFormat="1" ht="35.1" hidden="1" customHeight="1">
      <c r="A89" s="60" t="s">
        <v>38</v>
      </c>
      <c r="B89" s="80" t="s">
        <v>32</v>
      </c>
      <c r="C89" s="60" t="s">
        <v>26</v>
      </c>
      <c r="D89" s="78" t="s">
        <v>37</v>
      </c>
      <c r="E89" s="65" t="s">
        <v>28</v>
      </c>
      <c r="F89" s="43">
        <v>749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138"/>
      <c r="T89" s="138"/>
      <c r="U89" s="138"/>
      <c r="V89" s="23"/>
      <c r="W89" s="23"/>
      <c r="X89" s="23"/>
      <c r="Y89" s="23"/>
      <c r="Z89" s="23"/>
    </row>
  </sheetData>
  <autoFilter ref="A1:R89">
    <filterColumn colId="0">
      <filters>
        <filter val="All"/>
      </filters>
    </filterColumn>
  </autoFilter>
  <phoneticPr fontId="3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12"/>
  <sheetViews>
    <sheetView topLeftCell="B1" zoomScale="80" zoomScaleNormal="80" workbookViewId="0">
      <selection activeCell="I133" sqref="I133"/>
    </sheetView>
  </sheetViews>
  <sheetFormatPr defaultRowHeight="15"/>
  <cols>
    <col min="1" max="1" width="13.5703125" customWidth="1"/>
    <col min="2" max="2" width="9" customWidth="1"/>
    <col min="3" max="3" width="21.5703125" customWidth="1"/>
    <col min="4" max="5" width="13.85546875" customWidth="1"/>
    <col min="6" max="6" width="14" customWidth="1"/>
    <col min="7" max="7" width="13.85546875" customWidth="1"/>
    <col min="8" max="8" width="12.85546875" customWidth="1"/>
    <col min="10" max="10" width="14.85546875" customWidth="1"/>
    <col min="12" max="12" width="21.42578125" customWidth="1"/>
    <col min="13" max="13" width="14.5703125" customWidth="1"/>
    <col min="14" max="14" width="14.140625" customWidth="1"/>
    <col min="15" max="15" width="14.5703125" customWidth="1"/>
    <col min="16" max="16" width="13" customWidth="1"/>
    <col min="17" max="17" width="13.42578125" customWidth="1"/>
  </cols>
  <sheetData>
    <row r="1" spans="1:17" ht="35.1" customHeight="1">
      <c r="A1" s="642" t="s">
        <v>39</v>
      </c>
      <c r="B1" s="643"/>
      <c r="C1" s="643"/>
      <c r="D1" s="643"/>
      <c r="E1" s="643"/>
      <c r="F1" s="643"/>
      <c r="G1" s="643"/>
      <c r="H1" s="644"/>
      <c r="J1" s="645" t="s">
        <v>40</v>
      </c>
      <c r="K1" s="646"/>
      <c r="L1" s="646"/>
      <c r="M1" s="646"/>
      <c r="N1" s="646"/>
      <c r="O1" s="646"/>
      <c r="P1" s="646"/>
      <c r="Q1" s="647"/>
    </row>
    <row r="2" spans="1:17" ht="33.6" customHeight="1">
      <c r="A2" s="143" t="s">
        <v>41</v>
      </c>
      <c r="B2" s="144" t="s">
        <v>42</v>
      </c>
      <c r="C2" s="145" t="s">
        <v>43</v>
      </c>
      <c r="D2" s="144" t="s">
        <v>44</v>
      </c>
      <c r="E2" s="124" t="s">
        <v>45</v>
      </c>
      <c r="F2" s="124" t="s">
        <v>46</v>
      </c>
      <c r="G2" s="124" t="s">
        <v>47</v>
      </c>
      <c r="H2" s="146" t="s">
        <v>48</v>
      </c>
      <c r="J2" s="143" t="s">
        <v>41</v>
      </c>
      <c r="K2" s="144" t="s">
        <v>42</v>
      </c>
      <c r="L2" s="145" t="s">
        <v>43</v>
      </c>
      <c r="M2" s="144" t="s">
        <v>44</v>
      </c>
      <c r="N2" s="124" t="s">
        <v>45</v>
      </c>
      <c r="O2" s="124" t="s">
        <v>46</v>
      </c>
      <c r="P2" s="124" t="s">
        <v>47</v>
      </c>
      <c r="Q2" s="146" t="s">
        <v>48</v>
      </c>
    </row>
    <row r="3" spans="1:17" ht="15" customHeight="1">
      <c r="A3" s="631" t="s">
        <v>49</v>
      </c>
      <c r="B3" s="637">
        <v>1074</v>
      </c>
      <c r="C3" s="147" t="s">
        <v>50</v>
      </c>
      <c r="D3" s="531">
        <v>3923851</v>
      </c>
      <c r="E3" s="531">
        <v>5489697</v>
      </c>
      <c r="F3" s="531">
        <v>6961749</v>
      </c>
      <c r="G3" s="531">
        <v>8032003</v>
      </c>
      <c r="H3" s="534">
        <v>8949383</v>
      </c>
      <c r="J3" s="631" t="s">
        <v>49</v>
      </c>
      <c r="K3" s="637">
        <v>5177</v>
      </c>
      <c r="L3" s="147" t="s">
        <v>50</v>
      </c>
      <c r="M3" s="531">
        <v>26170356.462000001</v>
      </c>
      <c r="N3" s="531">
        <v>39918316.369999997</v>
      </c>
      <c r="O3" s="531">
        <v>44934126.839999996</v>
      </c>
      <c r="P3" s="531">
        <v>49197887.75</v>
      </c>
      <c r="Q3" s="534">
        <v>52116033.270000003</v>
      </c>
    </row>
    <row r="4" spans="1:17" ht="13.35" customHeight="1">
      <c r="A4" s="616"/>
      <c r="B4" s="618"/>
      <c r="C4" s="148" t="s">
        <v>51</v>
      </c>
      <c r="D4" s="376">
        <v>3653.4920000000002</v>
      </c>
      <c r="E4" s="376">
        <v>5111.45</v>
      </c>
      <c r="F4" s="376">
        <v>6482.0749999999998</v>
      </c>
      <c r="G4" s="376">
        <v>7478.5879999999997</v>
      </c>
      <c r="H4" s="536">
        <v>8332.759</v>
      </c>
      <c r="J4" s="616"/>
      <c r="K4" s="618"/>
      <c r="L4" s="148" t="s">
        <v>51</v>
      </c>
      <c r="M4" s="532">
        <v>5055.12</v>
      </c>
      <c r="N4" s="532">
        <v>7710.7030000000004</v>
      </c>
      <c r="O4" s="532">
        <v>8679.5660000000007</v>
      </c>
      <c r="P4" s="532">
        <v>9503.1659999999993</v>
      </c>
      <c r="Q4" s="535">
        <v>10066.84</v>
      </c>
    </row>
    <row r="5" spans="1:17" ht="13.35" customHeight="1">
      <c r="A5" s="616"/>
      <c r="B5" s="618"/>
      <c r="C5" s="148" t="s">
        <v>52</v>
      </c>
      <c r="D5" s="532">
        <v>5736.6239999999998</v>
      </c>
      <c r="E5" s="532">
        <v>7990.826</v>
      </c>
      <c r="F5" s="532">
        <v>10133.549999999999</v>
      </c>
      <c r="G5" s="532">
        <v>11657.48</v>
      </c>
      <c r="H5" s="535">
        <v>13219.18</v>
      </c>
      <c r="J5" s="616"/>
      <c r="K5" s="618"/>
      <c r="L5" s="148" t="s">
        <v>52</v>
      </c>
      <c r="M5" s="532">
        <v>7223.3940000000002</v>
      </c>
      <c r="N5" s="532">
        <v>11178.47</v>
      </c>
      <c r="O5" s="532">
        <v>13035.72</v>
      </c>
      <c r="P5" s="532">
        <v>14664.05</v>
      </c>
      <c r="Q5" s="535">
        <v>16030.77</v>
      </c>
    </row>
    <row r="6" spans="1:17" ht="13.35" customHeight="1">
      <c r="A6" s="616"/>
      <c r="B6" s="618"/>
      <c r="C6" s="148" t="s">
        <v>53</v>
      </c>
      <c r="D6" s="376">
        <v>780.64499999999998</v>
      </c>
      <c r="E6" s="376">
        <v>1538.915</v>
      </c>
      <c r="F6" s="376">
        <v>2086.25</v>
      </c>
      <c r="G6" s="376">
        <v>2369.1550000000002</v>
      </c>
      <c r="H6" s="536">
        <v>2147.7399999999998</v>
      </c>
      <c r="J6" s="616"/>
      <c r="K6" s="618"/>
      <c r="L6" s="148" t="s">
        <v>53</v>
      </c>
      <c r="M6" s="532">
        <v>2105.2600000000002</v>
      </c>
      <c r="N6" s="532">
        <v>3605.54</v>
      </c>
      <c r="O6" s="532">
        <v>3716.8</v>
      </c>
      <c r="P6" s="532">
        <v>3903.71</v>
      </c>
      <c r="Q6" s="535">
        <v>3595.16</v>
      </c>
    </row>
    <row r="7" spans="1:17" ht="13.35" customHeight="1">
      <c r="A7" s="616"/>
      <c r="B7" s="618"/>
      <c r="C7" s="148" t="s">
        <v>54</v>
      </c>
      <c r="D7" s="532">
        <v>3103.44</v>
      </c>
      <c r="E7" s="532">
        <v>5639.34</v>
      </c>
      <c r="F7" s="532">
        <v>7237.98</v>
      </c>
      <c r="G7" s="532">
        <v>8734.25</v>
      </c>
      <c r="H7" s="535">
        <v>10145.280000000001</v>
      </c>
      <c r="J7" s="616"/>
      <c r="K7" s="618"/>
      <c r="L7" s="148" t="s">
        <v>54</v>
      </c>
      <c r="M7" s="532">
        <v>4831.53</v>
      </c>
      <c r="N7" s="532">
        <v>8698.82</v>
      </c>
      <c r="O7" s="532">
        <v>10464.66</v>
      </c>
      <c r="P7" s="532">
        <v>11790</v>
      </c>
      <c r="Q7" s="535">
        <v>13064.39</v>
      </c>
    </row>
    <row r="8" spans="1:17" ht="18.75" customHeight="1">
      <c r="A8" s="632"/>
      <c r="B8" s="638"/>
      <c r="C8" s="149" t="s">
        <v>55</v>
      </c>
      <c r="D8" s="150" t="s">
        <v>56</v>
      </c>
      <c r="E8" s="150" t="s">
        <v>57</v>
      </c>
      <c r="F8" s="150" t="s">
        <v>57</v>
      </c>
      <c r="G8" s="150" t="s">
        <v>58</v>
      </c>
      <c r="H8" s="151" t="s">
        <v>59</v>
      </c>
      <c r="J8" s="632"/>
      <c r="K8" s="638"/>
      <c r="L8" s="149" t="s">
        <v>55</v>
      </c>
      <c r="M8" s="150" t="s">
        <v>60</v>
      </c>
      <c r="N8" s="150" t="s">
        <v>61</v>
      </c>
      <c r="O8" s="150" t="s">
        <v>62</v>
      </c>
      <c r="P8" s="150" t="s">
        <v>63</v>
      </c>
      <c r="Q8" s="151" t="s">
        <v>64</v>
      </c>
    </row>
    <row r="9" spans="1:17" ht="15" customHeight="1">
      <c r="A9" s="616" t="s">
        <v>65</v>
      </c>
      <c r="B9" s="618">
        <v>1440</v>
      </c>
      <c r="C9" s="148" t="s">
        <v>50</v>
      </c>
      <c r="D9" s="532">
        <v>5475527</v>
      </c>
      <c r="E9" s="532">
        <v>7264892</v>
      </c>
      <c r="F9" s="532">
        <v>9048319</v>
      </c>
      <c r="G9" s="532">
        <v>10500000</v>
      </c>
      <c r="H9" s="628" t="s">
        <v>66</v>
      </c>
      <c r="J9" s="616" t="s">
        <v>65</v>
      </c>
      <c r="K9" s="618">
        <v>6814</v>
      </c>
      <c r="L9" s="147" t="s">
        <v>50</v>
      </c>
      <c r="M9" s="531">
        <v>34460041.410000004</v>
      </c>
      <c r="N9" s="531">
        <v>52814966.299999997</v>
      </c>
      <c r="O9" s="531">
        <v>60390959.460000001</v>
      </c>
      <c r="P9" s="531">
        <v>65924921.649999999</v>
      </c>
      <c r="Q9" s="628" t="s">
        <v>66</v>
      </c>
    </row>
    <row r="10" spans="1:17" ht="14.25" customHeight="1">
      <c r="A10" s="616"/>
      <c r="B10" s="618"/>
      <c r="C10" s="148" t="s">
        <v>51</v>
      </c>
      <c r="D10" s="532">
        <v>3802.45</v>
      </c>
      <c r="E10" s="532">
        <v>5045.0640000000003</v>
      </c>
      <c r="F10" s="532">
        <v>6283.5550000000003</v>
      </c>
      <c r="G10" s="532">
        <v>7319.4269999999997</v>
      </c>
      <c r="H10" s="629"/>
      <c r="J10" s="616"/>
      <c r="K10" s="618"/>
      <c r="L10" s="148" t="s">
        <v>51</v>
      </c>
      <c r="M10" s="532">
        <v>5057.241</v>
      </c>
      <c r="N10" s="532">
        <v>7750.951</v>
      </c>
      <c r="O10" s="532">
        <v>8862.7790000000005</v>
      </c>
      <c r="P10" s="532">
        <v>9674.9240000000009</v>
      </c>
      <c r="Q10" s="629"/>
    </row>
    <row r="11" spans="1:17" ht="14.25" customHeight="1">
      <c r="A11" s="616"/>
      <c r="B11" s="618"/>
      <c r="C11" s="148" t="s">
        <v>52</v>
      </c>
      <c r="D11" s="532">
        <v>5932.3159999999998</v>
      </c>
      <c r="E11" s="532">
        <v>7862.4380000000001</v>
      </c>
      <c r="F11" s="532">
        <v>9771.4030000000002</v>
      </c>
      <c r="G11" s="532">
        <v>11481.455</v>
      </c>
      <c r="H11" s="629"/>
      <c r="J11" s="616"/>
      <c r="K11" s="618"/>
      <c r="L11" s="148" t="s">
        <v>52</v>
      </c>
      <c r="M11" s="376">
        <v>7335.0450000000001</v>
      </c>
      <c r="N11" s="532">
        <v>11389.9</v>
      </c>
      <c r="O11" s="532">
        <v>13507.26</v>
      </c>
      <c r="P11" s="532">
        <v>14965.93</v>
      </c>
      <c r="Q11" s="629"/>
    </row>
    <row r="12" spans="1:17" ht="14.25" customHeight="1">
      <c r="A12" s="616"/>
      <c r="B12" s="618"/>
      <c r="C12" s="148" t="s">
        <v>53</v>
      </c>
      <c r="D12" s="532">
        <v>947.97500000000002</v>
      </c>
      <c r="E12" s="532">
        <v>1247.2149999999999</v>
      </c>
      <c r="F12" s="532">
        <v>1615.385</v>
      </c>
      <c r="G12" s="532">
        <v>1898.575</v>
      </c>
      <c r="H12" s="629"/>
      <c r="J12" s="616"/>
      <c r="K12" s="618"/>
      <c r="L12" s="148" t="s">
        <v>53</v>
      </c>
      <c r="M12" s="532">
        <v>2178.4549999999999</v>
      </c>
      <c r="N12" s="532">
        <v>3557.22</v>
      </c>
      <c r="O12" s="532">
        <v>3867.01</v>
      </c>
      <c r="P12" s="532">
        <v>4005.83</v>
      </c>
      <c r="Q12" s="629"/>
    </row>
    <row r="13" spans="1:17" ht="14.25" customHeight="1">
      <c r="A13" s="616"/>
      <c r="B13" s="618"/>
      <c r="C13" s="148" t="s">
        <v>54</v>
      </c>
      <c r="D13" s="532">
        <v>3648.58</v>
      </c>
      <c r="E13" s="532">
        <v>5599.5550000000003</v>
      </c>
      <c r="F13" s="532">
        <v>6817.04</v>
      </c>
      <c r="G13" s="532">
        <v>8165.8549999999996</v>
      </c>
      <c r="H13" s="629"/>
      <c r="J13" s="616"/>
      <c r="K13" s="618"/>
      <c r="L13" s="148" t="s">
        <v>54</v>
      </c>
      <c r="M13" s="376">
        <v>5158.2</v>
      </c>
      <c r="N13" s="532">
        <v>9234</v>
      </c>
      <c r="O13" s="532">
        <v>11288.78</v>
      </c>
      <c r="P13" s="532">
        <v>12396.12</v>
      </c>
      <c r="Q13" s="629"/>
    </row>
    <row r="14" spans="1:17" ht="18" customHeight="1">
      <c r="A14" s="632"/>
      <c r="B14" s="638"/>
      <c r="C14" s="149" t="s">
        <v>55</v>
      </c>
      <c r="D14" s="152" t="s">
        <v>67</v>
      </c>
      <c r="E14" s="152" t="s">
        <v>68</v>
      </c>
      <c r="F14" s="152" t="s">
        <v>69</v>
      </c>
      <c r="G14" s="152" t="s">
        <v>70</v>
      </c>
      <c r="H14" s="630"/>
      <c r="J14" s="632"/>
      <c r="K14" s="638"/>
      <c r="L14" s="149" t="s">
        <v>55</v>
      </c>
      <c r="M14" s="153" t="s">
        <v>71</v>
      </c>
      <c r="N14" s="153" t="s">
        <v>72</v>
      </c>
      <c r="O14" s="153" t="s">
        <v>73</v>
      </c>
      <c r="P14" s="153" t="s">
        <v>74</v>
      </c>
      <c r="Q14" s="630"/>
    </row>
    <row r="15" spans="1:17" ht="15" customHeight="1">
      <c r="A15" s="631" t="s">
        <v>75</v>
      </c>
      <c r="B15" s="637">
        <v>1881</v>
      </c>
      <c r="C15" s="147" t="s">
        <v>50</v>
      </c>
      <c r="D15" s="531">
        <v>8551486</v>
      </c>
      <c r="E15" s="531">
        <v>11567079.699999999</v>
      </c>
      <c r="F15" s="531">
        <v>14357109</v>
      </c>
      <c r="G15" s="620" t="s">
        <v>66</v>
      </c>
      <c r="H15" s="623" t="s">
        <v>66</v>
      </c>
      <c r="J15" s="631" t="s">
        <v>75</v>
      </c>
      <c r="K15" s="637">
        <v>5365</v>
      </c>
      <c r="L15" s="148" t="s">
        <v>50</v>
      </c>
      <c r="M15" s="532">
        <v>30956886.384999998</v>
      </c>
      <c r="N15" s="532">
        <v>46482134.090000004</v>
      </c>
      <c r="O15" s="532">
        <v>52113734.399999999</v>
      </c>
      <c r="P15" s="621" t="s">
        <v>66</v>
      </c>
      <c r="Q15" s="623" t="s">
        <v>66</v>
      </c>
    </row>
    <row r="16" spans="1:17" ht="14.25" customHeight="1">
      <c r="A16" s="616"/>
      <c r="B16" s="618"/>
      <c r="C16" s="148" t="s">
        <v>51</v>
      </c>
      <c r="D16" s="532">
        <v>4546.2449999999999</v>
      </c>
      <c r="E16" s="532">
        <v>6149.4309999999996</v>
      </c>
      <c r="F16" s="532">
        <v>7632.7</v>
      </c>
      <c r="G16" s="621"/>
      <c r="H16" s="624"/>
      <c r="J16" s="616"/>
      <c r="K16" s="618"/>
      <c r="L16" s="148" t="s">
        <v>51</v>
      </c>
      <c r="M16" s="532">
        <v>5770.1559999999999</v>
      </c>
      <c r="N16" s="532">
        <v>8663.9599999999991</v>
      </c>
      <c r="O16" s="532">
        <v>9713.6470000000008</v>
      </c>
      <c r="P16" s="621"/>
      <c r="Q16" s="624"/>
    </row>
    <row r="17" spans="1:17" ht="14.25" customHeight="1">
      <c r="A17" s="616"/>
      <c r="B17" s="618"/>
      <c r="C17" s="148" t="s">
        <v>52</v>
      </c>
      <c r="D17" s="532">
        <v>6781.5119999999997</v>
      </c>
      <c r="E17" s="532">
        <v>8856.875</v>
      </c>
      <c r="F17" s="532">
        <v>11340.53</v>
      </c>
      <c r="G17" s="621"/>
      <c r="H17" s="624"/>
      <c r="J17" s="616"/>
      <c r="K17" s="618"/>
      <c r="L17" s="148" t="s">
        <v>52</v>
      </c>
      <c r="M17" s="532">
        <v>8123.0349999999999</v>
      </c>
      <c r="N17" s="532">
        <v>12051.37</v>
      </c>
      <c r="O17" s="532">
        <v>14316.96</v>
      </c>
      <c r="P17" s="621"/>
      <c r="Q17" s="624"/>
    </row>
    <row r="18" spans="1:17" ht="14.25" customHeight="1">
      <c r="A18" s="616"/>
      <c r="B18" s="618"/>
      <c r="C18" s="148" t="s">
        <v>53</v>
      </c>
      <c r="D18" s="532">
        <v>1423.27</v>
      </c>
      <c r="E18" s="532">
        <v>2255.92</v>
      </c>
      <c r="F18" s="532">
        <v>3000.71</v>
      </c>
      <c r="G18" s="621"/>
      <c r="H18" s="624"/>
      <c r="J18" s="616"/>
      <c r="K18" s="618"/>
      <c r="L18" s="148" t="s">
        <v>53</v>
      </c>
      <c r="M18" s="532">
        <v>2678.65</v>
      </c>
      <c r="N18" s="532">
        <v>4613.46</v>
      </c>
      <c r="O18" s="532">
        <v>4789.82</v>
      </c>
      <c r="P18" s="621"/>
      <c r="Q18" s="624"/>
    </row>
    <row r="19" spans="1:17" ht="14.25" customHeight="1">
      <c r="A19" s="616"/>
      <c r="B19" s="618"/>
      <c r="C19" s="148" t="s">
        <v>54</v>
      </c>
      <c r="D19" s="532">
        <v>4321</v>
      </c>
      <c r="E19" s="532">
        <v>5932.3149999999996</v>
      </c>
      <c r="F19" s="532">
        <v>8415.4850000000006</v>
      </c>
      <c r="G19" s="621"/>
      <c r="H19" s="624"/>
      <c r="J19" s="616"/>
      <c r="K19" s="618"/>
      <c r="L19" s="148" t="s">
        <v>54</v>
      </c>
      <c r="M19" s="532">
        <v>5649.59</v>
      </c>
      <c r="N19" s="532">
        <v>9508</v>
      </c>
      <c r="O19" s="532">
        <v>11741.53</v>
      </c>
      <c r="P19" s="621"/>
      <c r="Q19" s="624"/>
    </row>
    <row r="20" spans="1:17" ht="18" customHeight="1">
      <c r="A20" s="632"/>
      <c r="B20" s="638"/>
      <c r="C20" s="149" t="s">
        <v>55</v>
      </c>
      <c r="D20" s="150" t="s">
        <v>76</v>
      </c>
      <c r="E20" s="150" t="s">
        <v>77</v>
      </c>
      <c r="F20" s="150" t="s">
        <v>78</v>
      </c>
      <c r="G20" s="635"/>
      <c r="H20" s="636"/>
      <c r="J20" s="632"/>
      <c r="K20" s="638"/>
      <c r="L20" s="149" t="s">
        <v>55</v>
      </c>
      <c r="M20" s="150" t="s">
        <v>79</v>
      </c>
      <c r="N20" s="150" t="s">
        <v>80</v>
      </c>
      <c r="O20" s="150" t="s">
        <v>81</v>
      </c>
      <c r="P20" s="635"/>
      <c r="Q20" s="636"/>
    </row>
    <row r="21" spans="1:17" ht="14.85" customHeight="1">
      <c r="A21" s="631" t="s">
        <v>82</v>
      </c>
      <c r="B21" s="637">
        <v>1695</v>
      </c>
      <c r="C21" s="147" t="s">
        <v>50</v>
      </c>
      <c r="D21" s="154">
        <v>9094709</v>
      </c>
      <c r="E21" s="154">
        <v>11584616</v>
      </c>
      <c r="F21" s="620" t="s">
        <v>66</v>
      </c>
      <c r="G21" s="620" t="s">
        <v>66</v>
      </c>
      <c r="H21" s="623" t="s">
        <v>66</v>
      </c>
      <c r="J21" s="631" t="s">
        <v>82</v>
      </c>
      <c r="K21" s="637">
        <v>5149</v>
      </c>
      <c r="L21" s="147" t="s">
        <v>50</v>
      </c>
      <c r="M21" s="532">
        <v>33375728.517999999</v>
      </c>
      <c r="N21" s="532">
        <v>47952577.32</v>
      </c>
      <c r="O21" s="620" t="s">
        <v>66</v>
      </c>
      <c r="P21" s="620" t="s">
        <v>66</v>
      </c>
      <c r="Q21" s="623" t="s">
        <v>66</v>
      </c>
    </row>
    <row r="22" spans="1:17" ht="14.25" customHeight="1">
      <c r="A22" s="616"/>
      <c r="B22" s="618"/>
      <c r="C22" s="148" t="s">
        <v>51</v>
      </c>
      <c r="D22" s="532">
        <v>5365.61</v>
      </c>
      <c r="E22" s="532">
        <v>6834.5820000000003</v>
      </c>
      <c r="F22" s="621"/>
      <c r="G22" s="621"/>
      <c r="H22" s="624"/>
      <c r="J22" s="616"/>
      <c r="K22" s="618"/>
      <c r="L22" s="148" t="s">
        <v>51</v>
      </c>
      <c r="M22" s="532">
        <v>6481.9832999999999</v>
      </c>
      <c r="N22" s="532">
        <v>9312.9869999999992</v>
      </c>
      <c r="O22" s="621"/>
      <c r="P22" s="621"/>
      <c r="Q22" s="624"/>
    </row>
    <row r="23" spans="1:17" ht="14.25" customHeight="1">
      <c r="A23" s="616"/>
      <c r="B23" s="618"/>
      <c r="C23" s="148" t="s">
        <v>52</v>
      </c>
      <c r="D23" s="155">
        <v>7534.97</v>
      </c>
      <c r="E23" s="155">
        <v>9380.2559999999994</v>
      </c>
      <c r="F23" s="621"/>
      <c r="G23" s="621"/>
      <c r="H23" s="624"/>
      <c r="J23" s="616"/>
      <c r="K23" s="618"/>
      <c r="L23" s="148" t="s">
        <v>52</v>
      </c>
      <c r="M23" s="532">
        <v>8595.3459999999995</v>
      </c>
      <c r="N23" s="532">
        <v>12605.83</v>
      </c>
      <c r="O23" s="621"/>
      <c r="P23" s="621"/>
      <c r="Q23" s="624"/>
    </row>
    <row r="24" spans="1:17" ht="14.25" customHeight="1">
      <c r="A24" s="616"/>
      <c r="B24" s="618"/>
      <c r="C24" s="148" t="s">
        <v>53</v>
      </c>
      <c r="D24" s="532">
        <v>2024.85</v>
      </c>
      <c r="E24" s="532">
        <v>3316.05</v>
      </c>
      <c r="F24" s="621"/>
      <c r="G24" s="621"/>
      <c r="H24" s="624"/>
      <c r="J24" s="616"/>
      <c r="K24" s="618"/>
      <c r="L24" s="148" t="s">
        <v>53</v>
      </c>
      <c r="M24" s="532">
        <v>3615.53</v>
      </c>
      <c r="N24" s="532">
        <v>5500</v>
      </c>
      <c r="O24" s="621"/>
      <c r="P24" s="621"/>
      <c r="Q24" s="624"/>
    </row>
    <row r="25" spans="1:17" ht="14.25" customHeight="1">
      <c r="A25" s="616"/>
      <c r="B25" s="618"/>
      <c r="C25" s="148" t="s">
        <v>54</v>
      </c>
      <c r="D25" s="155">
        <v>4939.88</v>
      </c>
      <c r="E25" s="155">
        <v>6711.6</v>
      </c>
      <c r="F25" s="621"/>
      <c r="G25" s="621"/>
      <c r="H25" s="624"/>
      <c r="J25" s="616"/>
      <c r="K25" s="618"/>
      <c r="L25" s="148" t="s">
        <v>54</v>
      </c>
      <c r="M25" s="532">
        <v>6255.77</v>
      </c>
      <c r="N25" s="532">
        <v>10118.31</v>
      </c>
      <c r="O25" s="621"/>
      <c r="P25" s="621"/>
      <c r="Q25" s="624"/>
    </row>
    <row r="26" spans="1:17" ht="16.5" customHeight="1" thickBot="1">
      <c r="A26" s="617"/>
      <c r="B26" s="619"/>
      <c r="C26" s="156" t="s">
        <v>55</v>
      </c>
      <c r="D26" s="157" t="s">
        <v>83</v>
      </c>
      <c r="E26" s="157" t="s">
        <v>84</v>
      </c>
      <c r="F26" s="622"/>
      <c r="G26" s="622"/>
      <c r="H26" s="625"/>
      <c r="J26" s="617"/>
      <c r="K26" s="619"/>
      <c r="L26" s="156" t="s">
        <v>55</v>
      </c>
      <c r="M26" s="157" t="s">
        <v>85</v>
      </c>
      <c r="N26" s="157" t="s">
        <v>86</v>
      </c>
      <c r="O26" s="622"/>
      <c r="P26" s="622"/>
      <c r="Q26" s="625"/>
    </row>
    <row r="27" spans="1:17">
      <c r="A27" s="158"/>
      <c r="B27" s="158"/>
      <c r="C27" s="159"/>
      <c r="D27" s="155"/>
      <c r="E27" s="155"/>
      <c r="F27" s="155"/>
      <c r="G27" s="155"/>
      <c r="H27" s="155"/>
      <c r="J27" s="158"/>
      <c r="K27" s="158"/>
      <c r="L27" s="159"/>
      <c r="M27" s="155"/>
      <c r="N27" s="155"/>
      <c r="O27" s="155"/>
      <c r="P27" s="155"/>
      <c r="Q27" s="155"/>
    </row>
    <row r="28" spans="1:17" ht="15.75" thickBot="1">
      <c r="A28" s="158"/>
      <c r="B28" s="158"/>
      <c r="C28" s="159"/>
      <c r="D28" s="155"/>
      <c r="E28" s="155"/>
      <c r="F28" s="155"/>
      <c r="G28" s="155"/>
      <c r="H28" s="155"/>
      <c r="J28" s="158"/>
      <c r="K28" s="158"/>
      <c r="L28" s="159"/>
      <c r="M28" s="155"/>
      <c r="N28" s="155"/>
      <c r="O28" s="155"/>
      <c r="P28" s="155"/>
      <c r="Q28" s="155"/>
    </row>
    <row r="29" spans="1:17" ht="45">
      <c r="A29" s="160" t="s">
        <v>41</v>
      </c>
      <c r="B29" s="161" t="s">
        <v>42</v>
      </c>
      <c r="C29" s="162" t="s">
        <v>43</v>
      </c>
      <c r="D29" s="161" t="s">
        <v>44</v>
      </c>
      <c r="E29" s="163" t="s">
        <v>45</v>
      </c>
      <c r="F29" s="163" t="s">
        <v>46</v>
      </c>
      <c r="G29" s="163" t="s">
        <v>47</v>
      </c>
      <c r="H29" s="164" t="s">
        <v>48</v>
      </c>
      <c r="J29" s="160" t="s">
        <v>41</v>
      </c>
      <c r="K29" s="161" t="s">
        <v>42</v>
      </c>
      <c r="L29" s="162" t="s">
        <v>43</v>
      </c>
      <c r="M29" s="161" t="s">
        <v>44</v>
      </c>
      <c r="N29" s="163" t="s">
        <v>45</v>
      </c>
      <c r="O29" s="163" t="s">
        <v>46</v>
      </c>
      <c r="P29" s="163" t="s">
        <v>47</v>
      </c>
      <c r="Q29" s="164" t="s">
        <v>48</v>
      </c>
    </row>
    <row r="30" spans="1:17" ht="15" customHeight="1">
      <c r="A30" s="631" t="s">
        <v>49</v>
      </c>
      <c r="B30" s="637">
        <v>1074</v>
      </c>
      <c r="C30" s="147" t="s">
        <v>50</v>
      </c>
      <c r="D30" s="531">
        <v>3923851</v>
      </c>
      <c r="E30" s="531">
        <v>5489697</v>
      </c>
      <c r="F30" s="531">
        <v>6961749</v>
      </c>
      <c r="G30" s="531">
        <v>8032003</v>
      </c>
      <c r="H30" s="534">
        <v>8949383</v>
      </c>
      <c r="J30" s="631" t="s">
        <v>49</v>
      </c>
      <c r="K30" s="637">
        <v>5177</v>
      </c>
      <c r="L30" s="147" t="s">
        <v>50</v>
      </c>
      <c r="M30" s="531">
        <v>26170356.462000001</v>
      </c>
      <c r="N30" s="531">
        <v>39918316.369999997</v>
      </c>
      <c r="O30" s="531">
        <v>44934126.839999996</v>
      </c>
      <c r="P30" s="531">
        <v>49197887.75</v>
      </c>
      <c r="Q30" s="534">
        <v>52116033.270000003</v>
      </c>
    </row>
    <row r="31" spans="1:17">
      <c r="A31" s="616"/>
      <c r="B31" s="618"/>
      <c r="C31" s="148" t="s">
        <v>87</v>
      </c>
      <c r="D31" s="532">
        <v>3653.4920000000002</v>
      </c>
      <c r="E31" s="532">
        <v>5111.45</v>
      </c>
      <c r="F31" s="532">
        <v>6482.0749999999998</v>
      </c>
      <c r="G31" s="532">
        <v>7478.5879999999997</v>
      </c>
      <c r="H31" s="535">
        <v>8332.759</v>
      </c>
      <c r="J31" s="616"/>
      <c r="K31" s="618"/>
      <c r="L31" s="148" t="s">
        <v>51</v>
      </c>
      <c r="M31" s="532">
        <v>5055.12</v>
      </c>
      <c r="N31" s="532">
        <v>7710.7030000000004</v>
      </c>
      <c r="O31" s="532">
        <v>8679.5660000000007</v>
      </c>
      <c r="P31" s="532">
        <v>9503.1659999999993</v>
      </c>
      <c r="Q31" s="535">
        <v>10066.84</v>
      </c>
    </row>
    <row r="32" spans="1:17" ht="18" customHeight="1">
      <c r="A32" s="616"/>
      <c r="B32" s="618"/>
      <c r="C32" s="148" t="s">
        <v>51</v>
      </c>
      <c r="D32" s="532">
        <v>5736.6239999999998</v>
      </c>
      <c r="E32" s="532">
        <v>7990.826</v>
      </c>
      <c r="F32" s="532">
        <v>10133.549999999999</v>
      </c>
      <c r="G32" s="532">
        <v>11657.48</v>
      </c>
      <c r="H32" s="535">
        <v>13219.18</v>
      </c>
      <c r="J32" s="616"/>
      <c r="K32" s="618"/>
      <c r="L32" s="148" t="s">
        <v>52</v>
      </c>
      <c r="M32" s="532">
        <v>7223.3940000000002</v>
      </c>
      <c r="N32" s="532">
        <v>11178.47</v>
      </c>
      <c r="O32" s="532">
        <v>13035.72</v>
      </c>
      <c r="P32" s="532">
        <v>14664.05</v>
      </c>
      <c r="Q32" s="535">
        <v>16030.77</v>
      </c>
    </row>
    <row r="33" spans="1:17" ht="30">
      <c r="A33" s="616"/>
      <c r="B33" s="618"/>
      <c r="C33" s="148" t="s">
        <v>52</v>
      </c>
      <c r="D33" s="532">
        <v>780.64499999999998</v>
      </c>
      <c r="E33" s="532">
        <v>1538.915</v>
      </c>
      <c r="F33" s="532">
        <v>2086.25</v>
      </c>
      <c r="G33" s="532">
        <v>2369.1550000000002</v>
      </c>
      <c r="H33" s="535">
        <v>2147.7399999999998</v>
      </c>
      <c r="J33" s="616"/>
      <c r="K33" s="618"/>
      <c r="L33" s="148" t="s">
        <v>53</v>
      </c>
      <c r="M33" s="532">
        <v>2105.2600000000002</v>
      </c>
      <c r="N33" s="532">
        <v>3605.54</v>
      </c>
      <c r="O33" s="532">
        <v>3716.8</v>
      </c>
      <c r="P33" s="532">
        <v>3903.71</v>
      </c>
      <c r="Q33" s="535">
        <v>3595.16</v>
      </c>
    </row>
    <row r="34" spans="1:17" ht="19.5" customHeight="1">
      <c r="A34" s="616"/>
      <c r="B34" s="618"/>
      <c r="C34" s="148" t="s">
        <v>53</v>
      </c>
      <c r="D34" s="532">
        <v>3103.44</v>
      </c>
      <c r="E34" s="532">
        <v>5639.34</v>
      </c>
      <c r="F34" s="532">
        <v>7237.98</v>
      </c>
      <c r="G34" s="532">
        <v>8734.25</v>
      </c>
      <c r="H34" s="535">
        <v>10145.280000000001</v>
      </c>
      <c r="J34" s="616"/>
      <c r="K34" s="618"/>
      <c r="L34" s="148" t="s">
        <v>54</v>
      </c>
      <c r="M34" s="532">
        <v>4831.53</v>
      </c>
      <c r="N34" s="532">
        <v>8698.82</v>
      </c>
      <c r="O34" s="532">
        <v>10464.66</v>
      </c>
      <c r="P34" s="532">
        <v>11790</v>
      </c>
      <c r="Q34" s="535">
        <v>13064.39</v>
      </c>
    </row>
    <row r="35" spans="1:17" ht="30">
      <c r="A35" s="632"/>
      <c r="B35" s="638"/>
      <c r="C35" s="148" t="s">
        <v>54</v>
      </c>
      <c r="D35" s="150" t="s">
        <v>56</v>
      </c>
      <c r="E35" s="150" t="s">
        <v>57</v>
      </c>
      <c r="F35" s="150" t="s">
        <v>57</v>
      </c>
      <c r="G35" s="150" t="s">
        <v>58</v>
      </c>
      <c r="H35" s="151" t="s">
        <v>59</v>
      </c>
      <c r="J35" s="632"/>
      <c r="K35" s="638"/>
      <c r="L35" s="149" t="s">
        <v>55</v>
      </c>
      <c r="M35" s="150" t="s">
        <v>60</v>
      </c>
      <c r="N35" s="150" t="s">
        <v>88</v>
      </c>
      <c r="O35" s="150" t="s">
        <v>62</v>
      </c>
      <c r="P35" s="150" t="s">
        <v>63</v>
      </c>
      <c r="Q35" s="151" t="s">
        <v>64</v>
      </c>
    </row>
    <row r="36" spans="1:17" ht="15" customHeight="1">
      <c r="A36" s="631" t="s">
        <v>89</v>
      </c>
      <c r="B36" s="637">
        <v>2514</v>
      </c>
      <c r="C36" s="147" t="s">
        <v>50</v>
      </c>
      <c r="D36" s="531">
        <v>9399378</v>
      </c>
      <c r="E36" s="531">
        <f>E37*2514</f>
        <v>12754590.450000001</v>
      </c>
      <c r="F36" s="531">
        <f t="shared" ref="F36:G36" si="0">F37*2514</f>
        <v>16010067.095999999</v>
      </c>
      <c r="G36" s="531">
        <f t="shared" si="0"/>
        <v>18571978.908</v>
      </c>
      <c r="H36" s="628" t="s">
        <v>66</v>
      </c>
      <c r="J36" s="631" t="s">
        <v>89</v>
      </c>
      <c r="K36" s="637">
        <v>11991</v>
      </c>
      <c r="L36" s="147" t="s">
        <v>50</v>
      </c>
      <c r="M36" s="531">
        <v>60630400.671999998</v>
      </c>
      <c r="N36" s="531">
        <v>92733327.359999999</v>
      </c>
      <c r="O36" s="531">
        <v>105325077.64</v>
      </c>
      <c r="P36" s="531">
        <v>115122859.2</v>
      </c>
      <c r="Q36" s="628" t="s">
        <v>66</v>
      </c>
    </row>
    <row r="37" spans="1:17">
      <c r="A37" s="616"/>
      <c r="B37" s="618"/>
      <c r="C37" s="148" t="s">
        <v>51</v>
      </c>
      <c r="D37" s="532">
        <v>3738.8139999999999</v>
      </c>
      <c r="E37" s="532">
        <v>5073.4250000000002</v>
      </c>
      <c r="F37" s="532">
        <v>6368.3639999999996</v>
      </c>
      <c r="G37" s="532">
        <v>7387.4219999999996</v>
      </c>
      <c r="H37" s="629"/>
      <c r="J37" s="616"/>
      <c r="K37" s="618"/>
      <c r="L37" s="148" t="s">
        <v>51</v>
      </c>
      <c r="M37" s="167">
        <v>5056.3249999999998</v>
      </c>
      <c r="N37" s="167">
        <v>7733.5749999999998</v>
      </c>
      <c r="O37" s="167">
        <v>8783.6790000000001</v>
      </c>
      <c r="P37" s="167">
        <v>9600.7690000000002</v>
      </c>
      <c r="Q37" s="629"/>
    </row>
    <row r="38" spans="1:17" ht="30">
      <c r="A38" s="616"/>
      <c r="B38" s="618"/>
      <c r="C38" s="148" t="s">
        <v>52</v>
      </c>
      <c r="D38" s="532">
        <v>5849.0219999999999</v>
      </c>
      <c r="E38" s="532">
        <v>7917.1880000000001</v>
      </c>
      <c r="F38" s="532">
        <v>9925.6470000000008</v>
      </c>
      <c r="G38" s="186">
        <v>11556.93</v>
      </c>
      <c r="H38" s="629"/>
      <c r="J38" s="616"/>
      <c r="K38" s="618"/>
      <c r="L38" s="148" t="s">
        <v>52</v>
      </c>
      <c r="M38" s="532">
        <v>7286.4319999999998</v>
      </c>
      <c r="N38" s="532">
        <v>11297.92</v>
      </c>
      <c r="O38" s="167">
        <v>13301.98</v>
      </c>
      <c r="P38" s="532">
        <v>14835.42</v>
      </c>
      <c r="Q38" s="629"/>
    </row>
    <row r="39" spans="1:17">
      <c r="A39" s="616"/>
      <c r="B39" s="618"/>
      <c r="C39" s="148" t="s">
        <v>53</v>
      </c>
      <c r="D39" s="532">
        <v>877.12</v>
      </c>
      <c r="E39" s="532">
        <v>1369.7850000000001</v>
      </c>
      <c r="F39" s="532">
        <v>1797.62</v>
      </c>
      <c r="G39" s="532">
        <v>2183.7800000000002</v>
      </c>
      <c r="H39" s="629"/>
      <c r="J39" s="616"/>
      <c r="K39" s="618"/>
      <c r="L39" s="148" t="s">
        <v>53</v>
      </c>
      <c r="M39" s="532">
        <v>2143.75</v>
      </c>
      <c r="N39" s="532">
        <v>3581.74</v>
      </c>
      <c r="O39" s="532">
        <v>3805.33</v>
      </c>
      <c r="P39" s="532">
        <v>3961.7</v>
      </c>
      <c r="Q39" s="629"/>
    </row>
    <row r="40" spans="1:17" ht="30">
      <c r="A40" s="616"/>
      <c r="B40" s="618"/>
      <c r="C40" s="148" t="s">
        <v>54</v>
      </c>
      <c r="D40" s="532">
        <v>3366.42</v>
      </c>
      <c r="E40" s="532">
        <v>5619.35</v>
      </c>
      <c r="F40" s="532">
        <v>7027.15</v>
      </c>
      <c r="G40" s="532">
        <v>8416.73</v>
      </c>
      <c r="H40" s="629"/>
      <c r="J40" s="616"/>
      <c r="K40" s="618"/>
      <c r="L40" s="148" t="s">
        <v>54</v>
      </c>
      <c r="M40" s="532">
        <v>5024.92</v>
      </c>
      <c r="N40" s="532">
        <v>8972.7900000000009</v>
      </c>
      <c r="O40" s="532">
        <v>10956.29</v>
      </c>
      <c r="P40" s="532">
        <v>12110.93</v>
      </c>
      <c r="Q40" s="629"/>
    </row>
    <row r="41" spans="1:17" ht="30">
      <c r="A41" s="632"/>
      <c r="B41" s="638"/>
      <c r="C41" s="149" t="s">
        <v>55</v>
      </c>
      <c r="D41" s="150" t="s">
        <v>90</v>
      </c>
      <c r="E41" s="150" t="s">
        <v>91</v>
      </c>
      <c r="F41" s="150" t="s">
        <v>92</v>
      </c>
      <c r="G41" s="150" t="s">
        <v>90</v>
      </c>
      <c r="H41" s="630"/>
      <c r="J41" s="632"/>
      <c r="K41" s="638"/>
      <c r="L41" s="149" t="s">
        <v>55</v>
      </c>
      <c r="M41" s="150" t="s">
        <v>93</v>
      </c>
      <c r="N41" s="150" t="s">
        <v>94</v>
      </c>
      <c r="O41" s="150" t="s">
        <v>95</v>
      </c>
      <c r="P41" s="150" t="s">
        <v>96</v>
      </c>
      <c r="Q41" s="630"/>
    </row>
    <row r="42" spans="1:17" ht="15" customHeight="1">
      <c r="A42" s="631" t="s">
        <v>97</v>
      </c>
      <c r="B42" s="637">
        <v>4395</v>
      </c>
      <c r="C42" s="147" t="s">
        <v>50</v>
      </c>
      <c r="D42" s="531">
        <f>D43*4395</f>
        <v>17950863.285</v>
      </c>
      <c r="E42" s="531">
        <f t="shared" ref="E42:F42" si="1">E43*4395</f>
        <v>24321670.695</v>
      </c>
      <c r="F42" s="531">
        <f t="shared" si="1"/>
        <v>30367177.785</v>
      </c>
      <c r="G42" s="620" t="s">
        <v>66</v>
      </c>
      <c r="H42" s="623" t="s">
        <v>66</v>
      </c>
      <c r="J42" s="631" t="s">
        <v>97</v>
      </c>
      <c r="K42" s="637">
        <v>17356</v>
      </c>
      <c r="L42" s="147" t="s">
        <v>50</v>
      </c>
      <c r="M42" s="531">
        <v>91587282.623999998</v>
      </c>
      <c r="N42" s="531">
        <v>139215380.70000002</v>
      </c>
      <c r="O42" s="531">
        <v>157438799.53999999</v>
      </c>
      <c r="P42" s="620" t="s">
        <v>66</v>
      </c>
      <c r="Q42" s="623" t="s">
        <v>66</v>
      </c>
    </row>
    <row r="43" spans="1:17">
      <c r="A43" s="616"/>
      <c r="B43" s="618"/>
      <c r="C43" s="148" t="s">
        <v>51</v>
      </c>
      <c r="D43" s="532">
        <v>4084.3829999999998</v>
      </c>
      <c r="E43" s="532">
        <v>5533.9409999999998</v>
      </c>
      <c r="F43" s="532">
        <v>6909.4830000000002</v>
      </c>
      <c r="G43" s="621"/>
      <c r="H43" s="624"/>
      <c r="J43" s="616"/>
      <c r="K43" s="618"/>
      <c r="L43" s="148" t="s">
        <v>51</v>
      </c>
      <c r="M43" s="532">
        <v>5276.9809999999998</v>
      </c>
      <c r="N43" s="532">
        <v>8021.1710000000003</v>
      </c>
      <c r="O43" s="532">
        <v>9071.1460000000006</v>
      </c>
      <c r="P43" s="621"/>
      <c r="Q43" s="624"/>
    </row>
    <row r="44" spans="1:17" ht="30">
      <c r="A44" s="616"/>
      <c r="B44" s="618"/>
      <c r="C44" s="148" t="s">
        <v>52</v>
      </c>
      <c r="D44" s="166">
        <v>6259.018</v>
      </c>
      <c r="E44" s="532">
        <v>8337.9050000000007</v>
      </c>
      <c r="F44" s="532">
        <v>10547.82</v>
      </c>
      <c r="G44" s="621"/>
      <c r="H44" s="624"/>
      <c r="J44" s="616"/>
      <c r="K44" s="618"/>
      <c r="L44" s="148" t="s">
        <v>52</v>
      </c>
      <c r="M44" s="167">
        <v>7549.232</v>
      </c>
      <c r="N44" s="167">
        <v>11538.78</v>
      </c>
      <c r="O44" s="167">
        <v>13621.63</v>
      </c>
      <c r="P44" s="621"/>
      <c r="Q44" s="624"/>
    </row>
    <row r="45" spans="1:17">
      <c r="A45" s="616"/>
      <c r="B45" s="618"/>
      <c r="C45" s="148" t="s">
        <v>53</v>
      </c>
      <c r="D45" s="532">
        <v>1093.1199999999999</v>
      </c>
      <c r="E45" s="532">
        <v>1751.1</v>
      </c>
      <c r="F45" s="532">
        <v>2321.56</v>
      </c>
      <c r="G45" s="621"/>
      <c r="H45" s="624"/>
      <c r="J45" s="616"/>
      <c r="K45" s="618"/>
      <c r="L45" s="148" t="s">
        <v>53</v>
      </c>
      <c r="M45" s="167">
        <v>2278.44</v>
      </c>
      <c r="N45" s="167">
        <v>3890.14</v>
      </c>
      <c r="O45" s="532">
        <v>4109.625</v>
      </c>
      <c r="P45" s="621"/>
      <c r="Q45" s="624"/>
    </row>
    <row r="46" spans="1:17" ht="30">
      <c r="A46" s="616"/>
      <c r="B46" s="618"/>
      <c r="C46" s="148" t="s">
        <v>54</v>
      </c>
      <c r="D46" s="532">
        <v>3716.83</v>
      </c>
      <c r="E46" s="532">
        <v>5754.5</v>
      </c>
      <c r="F46" s="532">
        <v>7540.34</v>
      </c>
      <c r="G46" s="621"/>
      <c r="H46" s="624"/>
      <c r="J46" s="616"/>
      <c r="K46" s="618"/>
      <c r="L46" s="148" t="s">
        <v>54</v>
      </c>
      <c r="M46" s="532">
        <v>5225.1049999999996</v>
      </c>
      <c r="N46" s="167">
        <v>9130.01</v>
      </c>
      <c r="O46" s="167">
        <v>11192.25</v>
      </c>
      <c r="P46" s="621"/>
      <c r="Q46" s="624"/>
    </row>
    <row r="47" spans="1:17" ht="30">
      <c r="A47" s="632"/>
      <c r="B47" s="638"/>
      <c r="C47" s="149" t="s">
        <v>55</v>
      </c>
      <c r="D47" s="150" t="s">
        <v>98</v>
      </c>
      <c r="E47" s="150" t="s">
        <v>99</v>
      </c>
      <c r="F47" s="150" t="s">
        <v>100</v>
      </c>
      <c r="G47" s="635"/>
      <c r="H47" s="636"/>
      <c r="J47" s="632"/>
      <c r="K47" s="638"/>
      <c r="L47" s="149" t="s">
        <v>55</v>
      </c>
      <c r="M47" s="150" t="s">
        <v>101</v>
      </c>
      <c r="N47" s="150" t="s">
        <v>102</v>
      </c>
      <c r="O47" s="150" t="s">
        <v>103</v>
      </c>
      <c r="P47" s="635"/>
      <c r="Q47" s="636"/>
    </row>
    <row r="48" spans="1:17" ht="15" customHeight="1">
      <c r="A48" s="616" t="s">
        <v>104</v>
      </c>
      <c r="B48" s="618">
        <v>6090</v>
      </c>
      <c r="C48" s="148" t="s">
        <v>50</v>
      </c>
      <c r="D48" s="532">
        <f>D49*6090</f>
        <v>27045574.289999999</v>
      </c>
      <c r="E48" s="532">
        <f>E49*6090</f>
        <v>35906286.780000001</v>
      </c>
      <c r="F48" s="620" t="s">
        <v>66</v>
      </c>
      <c r="G48" s="620" t="s">
        <v>66</v>
      </c>
      <c r="H48" s="623" t="s">
        <v>66</v>
      </c>
      <c r="J48" s="616" t="s">
        <v>104</v>
      </c>
      <c r="K48" s="618">
        <v>22505</v>
      </c>
      <c r="L48" s="148" t="s">
        <v>50</v>
      </c>
      <c r="M48" s="531">
        <v>124963011.095</v>
      </c>
      <c r="N48" s="531">
        <v>187168031.32999998</v>
      </c>
      <c r="O48" s="620" t="s">
        <v>66</v>
      </c>
      <c r="P48" s="620" t="s">
        <v>66</v>
      </c>
      <c r="Q48" s="623" t="s">
        <v>66</v>
      </c>
    </row>
    <row r="49" spans="1:17">
      <c r="A49" s="616"/>
      <c r="B49" s="618"/>
      <c r="C49" s="148" t="s">
        <v>51</v>
      </c>
      <c r="D49" s="532">
        <v>4440.9809999999998</v>
      </c>
      <c r="E49" s="532">
        <v>5895.942</v>
      </c>
      <c r="F49" s="621"/>
      <c r="G49" s="621"/>
      <c r="H49" s="624"/>
      <c r="J49" s="616"/>
      <c r="K49" s="618"/>
      <c r="L49" s="148" t="s">
        <v>51</v>
      </c>
      <c r="M49" s="165">
        <v>5552.6779999999999</v>
      </c>
      <c r="N49" s="165">
        <v>8316.73</v>
      </c>
      <c r="O49" s="621"/>
      <c r="P49" s="621"/>
      <c r="Q49" s="624"/>
    </row>
    <row r="50" spans="1:17" ht="30">
      <c r="A50" s="616"/>
      <c r="B50" s="618"/>
      <c r="C50" s="148" t="s">
        <v>52</v>
      </c>
      <c r="D50" s="532">
        <v>6636.95</v>
      </c>
      <c r="E50" s="532">
        <v>8647.9490000000005</v>
      </c>
      <c r="F50" s="621"/>
      <c r="G50" s="621"/>
      <c r="H50" s="624"/>
      <c r="J50" s="616"/>
      <c r="K50" s="618"/>
      <c r="L50" s="148" t="s">
        <v>52</v>
      </c>
      <c r="M50" s="532">
        <v>7802.8729999999996</v>
      </c>
      <c r="N50" s="165">
        <v>11794.57</v>
      </c>
      <c r="O50" s="621"/>
      <c r="P50" s="621"/>
      <c r="Q50" s="624"/>
    </row>
    <row r="51" spans="1:17">
      <c r="A51" s="616"/>
      <c r="B51" s="618"/>
      <c r="C51" s="148" t="s">
        <v>53</v>
      </c>
      <c r="D51" s="532">
        <v>1354.62</v>
      </c>
      <c r="E51" s="532">
        <v>2160.9699999999998</v>
      </c>
      <c r="F51" s="621"/>
      <c r="G51" s="621"/>
      <c r="H51" s="624"/>
      <c r="J51" s="616"/>
      <c r="K51" s="618"/>
      <c r="L51" s="148" t="s">
        <v>53</v>
      </c>
      <c r="M51" s="532">
        <v>2552.19</v>
      </c>
      <c r="N51" s="532">
        <v>4232.93</v>
      </c>
      <c r="O51" s="621"/>
      <c r="P51" s="621"/>
      <c r="Q51" s="624"/>
    </row>
    <row r="52" spans="1:17" ht="30">
      <c r="A52" s="616"/>
      <c r="B52" s="618"/>
      <c r="C52" s="148" t="s">
        <v>54</v>
      </c>
      <c r="D52" s="532">
        <v>4042.13</v>
      </c>
      <c r="E52" s="532">
        <v>6088.5150000000003</v>
      </c>
      <c r="F52" s="621"/>
      <c r="G52" s="621"/>
      <c r="H52" s="624"/>
      <c r="J52" s="616"/>
      <c r="K52" s="618"/>
      <c r="L52" s="148" t="s">
        <v>54</v>
      </c>
      <c r="M52" s="532">
        <v>5466.88</v>
      </c>
      <c r="N52" s="165">
        <v>9338.64</v>
      </c>
      <c r="O52" s="621"/>
      <c r="P52" s="621"/>
      <c r="Q52" s="624"/>
    </row>
    <row r="53" spans="1:17" ht="30.75" thickBot="1">
      <c r="A53" s="617"/>
      <c r="B53" s="619"/>
      <c r="C53" s="156" t="s">
        <v>55</v>
      </c>
      <c r="D53" s="168" t="s">
        <v>105</v>
      </c>
      <c r="E53" s="168" t="s">
        <v>106</v>
      </c>
      <c r="F53" s="622"/>
      <c r="G53" s="622"/>
      <c r="H53" s="625"/>
      <c r="J53" s="617"/>
      <c r="K53" s="619"/>
      <c r="L53" s="156" t="s">
        <v>55</v>
      </c>
      <c r="M53" s="168" t="s">
        <v>107</v>
      </c>
      <c r="N53" s="168" t="s">
        <v>108</v>
      </c>
      <c r="O53" s="622"/>
      <c r="P53" s="622"/>
      <c r="Q53" s="625"/>
    </row>
    <row r="55" spans="1:17" s="336" customFormat="1">
      <c r="A55" s="331"/>
      <c r="B55" s="332"/>
      <c r="C55" s="333"/>
      <c r="D55" s="334"/>
      <c r="E55" s="334"/>
      <c r="F55" s="335"/>
      <c r="G55" s="335"/>
      <c r="H55" s="335"/>
      <c r="J55" s="331"/>
      <c r="K55" s="332"/>
      <c r="L55" s="333"/>
      <c r="M55" s="334"/>
      <c r="N55" s="334"/>
      <c r="O55" s="335"/>
      <c r="P55" s="335"/>
      <c r="Q55" s="335"/>
    </row>
    <row r="56" spans="1:17" ht="15.75" thickBot="1"/>
    <row r="57" spans="1:17">
      <c r="A57" s="642" t="s">
        <v>39</v>
      </c>
      <c r="B57" s="643"/>
      <c r="C57" s="643"/>
      <c r="D57" s="643"/>
      <c r="E57" s="643"/>
      <c r="F57" s="643"/>
      <c r="G57" s="643"/>
      <c r="H57" s="644"/>
      <c r="J57" s="645" t="s">
        <v>40</v>
      </c>
      <c r="K57" s="646"/>
      <c r="L57" s="646"/>
      <c r="M57" s="646"/>
      <c r="N57" s="646"/>
      <c r="O57" s="646"/>
      <c r="P57" s="646"/>
      <c r="Q57" s="647"/>
    </row>
    <row r="58" spans="1:17">
      <c r="A58" s="639" t="s">
        <v>109</v>
      </c>
      <c r="B58" s="640"/>
      <c r="C58" s="640"/>
      <c r="D58" s="640"/>
      <c r="E58" s="640"/>
      <c r="F58" s="640"/>
      <c r="G58" s="640"/>
      <c r="H58" s="641"/>
      <c r="J58" s="639" t="s">
        <v>109</v>
      </c>
      <c r="K58" s="640"/>
      <c r="L58" s="640"/>
      <c r="M58" s="640"/>
      <c r="N58" s="640"/>
      <c r="O58" s="640"/>
      <c r="P58" s="640"/>
      <c r="Q58" s="641"/>
    </row>
    <row r="59" spans="1:17" ht="45">
      <c r="A59" s="143" t="s">
        <v>41</v>
      </c>
      <c r="B59" s="144" t="s">
        <v>42</v>
      </c>
      <c r="C59" s="145" t="s">
        <v>43</v>
      </c>
      <c r="D59" s="144" t="s">
        <v>44</v>
      </c>
      <c r="E59" s="124" t="s">
        <v>45</v>
      </c>
      <c r="F59" s="124" t="s">
        <v>46</v>
      </c>
      <c r="G59" s="124" t="s">
        <v>47</v>
      </c>
      <c r="H59" s="146" t="s">
        <v>48</v>
      </c>
      <c r="J59" s="143" t="s">
        <v>41</v>
      </c>
      <c r="K59" s="144" t="s">
        <v>42</v>
      </c>
      <c r="L59" s="145" t="s">
        <v>43</v>
      </c>
      <c r="M59" s="144" t="s">
        <v>44</v>
      </c>
      <c r="N59" s="124" t="s">
        <v>45</v>
      </c>
      <c r="O59" s="124" t="s">
        <v>46</v>
      </c>
      <c r="P59" s="124" t="s">
        <v>47</v>
      </c>
      <c r="Q59" s="146" t="s">
        <v>48</v>
      </c>
    </row>
    <row r="60" spans="1:17">
      <c r="A60" s="631" t="s">
        <v>49</v>
      </c>
      <c r="B60" s="637">
        <v>1074</v>
      </c>
      <c r="C60" s="147" t="s">
        <v>50</v>
      </c>
      <c r="D60" s="531">
        <f>D61*1074</f>
        <v>4135416.594</v>
      </c>
      <c r="E60" s="531">
        <f t="shared" ref="E60" si="2">E61*1074</f>
        <v>5729149.8960000006</v>
      </c>
      <c r="F60" s="531">
        <f t="shared" ref="F60" si="3">F61*1074</f>
        <v>7159422.5460000001</v>
      </c>
      <c r="G60" s="531">
        <f t="shared" ref="G60" si="4">G61*1074</f>
        <v>8142874.6799999997</v>
      </c>
      <c r="H60" s="534">
        <f t="shared" ref="H60" si="5">H61*1074</f>
        <v>9050302.6500000004</v>
      </c>
      <c r="J60" s="631" t="s">
        <v>49</v>
      </c>
      <c r="K60" s="637">
        <v>5177</v>
      </c>
      <c r="L60" s="147" t="s">
        <v>50</v>
      </c>
      <c r="M60" s="531">
        <f>M61*5177</f>
        <v>27654488.245999999</v>
      </c>
      <c r="N60" s="531">
        <f t="shared" ref="N60" si="6">N61*5177</f>
        <v>41663108.564000003</v>
      </c>
      <c r="O60" s="531">
        <f t="shared" ref="O60" si="7">O61*5177</f>
        <v>46210844.214000002</v>
      </c>
      <c r="P60" s="531">
        <f t="shared" ref="P60" si="8">P61*5177</f>
        <v>49876807.339000002</v>
      </c>
      <c r="Q60" s="534">
        <f t="shared" ref="Q60" si="9">Q61*5177</f>
        <v>52703102.479999997</v>
      </c>
    </row>
    <row r="61" spans="1:17">
      <c r="A61" s="616"/>
      <c r="B61" s="618"/>
      <c r="C61" s="148" t="s">
        <v>51</v>
      </c>
      <c r="D61" s="532">
        <v>3850.4810000000002</v>
      </c>
      <c r="E61" s="532">
        <v>5334.4040000000005</v>
      </c>
      <c r="F61" s="532">
        <v>6666.1289999999999</v>
      </c>
      <c r="G61" s="532">
        <v>7581.82</v>
      </c>
      <c r="H61" s="535">
        <v>8426.7250000000004</v>
      </c>
      <c r="J61" s="616"/>
      <c r="K61" s="618"/>
      <c r="L61" s="148" t="s">
        <v>51</v>
      </c>
      <c r="M61" s="325">
        <v>5341.7979999999998</v>
      </c>
      <c r="N61" s="325">
        <v>8047.732</v>
      </c>
      <c r="O61" s="325">
        <v>8926.1820000000007</v>
      </c>
      <c r="P61" s="325">
        <v>9634.3070000000007</v>
      </c>
      <c r="Q61" s="326">
        <v>10180.24</v>
      </c>
    </row>
    <row r="62" spans="1:17" ht="30">
      <c r="A62" s="616"/>
      <c r="B62" s="618"/>
      <c r="C62" s="148" t="s">
        <v>52</v>
      </c>
      <c r="D62" s="532">
        <v>6045.9309999999996</v>
      </c>
      <c r="E62" s="322">
        <v>8339.3739999999998</v>
      </c>
      <c r="F62" s="322">
        <v>10421.280000000001</v>
      </c>
      <c r="G62" s="322">
        <v>11818.4</v>
      </c>
      <c r="H62" s="323">
        <v>13368.25</v>
      </c>
      <c r="J62" s="616"/>
      <c r="K62" s="618"/>
      <c r="L62" s="148" t="s">
        <v>52</v>
      </c>
      <c r="M62" s="532">
        <v>7633.0349999999999</v>
      </c>
      <c r="N62" s="325">
        <v>11667.07</v>
      </c>
      <c r="O62" s="325">
        <v>13406.11</v>
      </c>
      <c r="P62" s="325">
        <v>14866.41</v>
      </c>
      <c r="Q62" s="535">
        <v>16211.35</v>
      </c>
    </row>
    <row r="63" spans="1:17">
      <c r="A63" s="616"/>
      <c r="B63" s="618"/>
      <c r="C63" s="148" t="s">
        <v>53</v>
      </c>
      <c r="D63" s="532">
        <v>833.08870000000002</v>
      </c>
      <c r="E63" s="532">
        <v>1601.2329999999999</v>
      </c>
      <c r="F63" s="532">
        <v>2133.5030000000002</v>
      </c>
      <c r="G63" s="532">
        <v>2402.2049999999999</v>
      </c>
      <c r="H63" s="535">
        <v>2174.973</v>
      </c>
      <c r="J63" s="616"/>
      <c r="K63" s="618"/>
      <c r="L63" s="148" t="s">
        <v>53</v>
      </c>
      <c r="M63" s="325">
        <v>2226.212</v>
      </c>
      <c r="N63" s="325">
        <v>3760.0929999999998</v>
      </c>
      <c r="O63" s="325">
        <v>3824.424</v>
      </c>
      <c r="P63" s="325">
        <v>3958.1669999999999</v>
      </c>
      <c r="Q63" s="326">
        <v>3640.0070000000001</v>
      </c>
    </row>
    <row r="64" spans="1:17" ht="20.100000000000001" customHeight="1">
      <c r="A64" s="616"/>
      <c r="B64" s="618"/>
      <c r="C64" s="148" t="s">
        <v>54</v>
      </c>
      <c r="D64" s="532">
        <v>3260.9389999999999</v>
      </c>
      <c r="E64" s="532">
        <v>5872.71</v>
      </c>
      <c r="F64" s="532">
        <v>7448.7259999999997</v>
      </c>
      <c r="G64" s="532">
        <v>8849.482</v>
      </c>
      <c r="H64" s="535">
        <v>10273.92</v>
      </c>
      <c r="J64" s="616"/>
      <c r="K64" s="618"/>
      <c r="L64" s="148" t="s">
        <v>54</v>
      </c>
      <c r="M64" s="532">
        <v>5138.0230000000001</v>
      </c>
      <c r="N64" s="532">
        <v>9079.9789999999994</v>
      </c>
      <c r="O64" s="532">
        <v>10772.75</v>
      </c>
      <c r="P64" s="532">
        <v>11953.9</v>
      </c>
      <c r="Q64" s="535">
        <v>13218.21</v>
      </c>
    </row>
    <row r="65" spans="1:17" ht="30">
      <c r="A65" s="632"/>
      <c r="B65" s="638"/>
      <c r="C65" s="149" t="s">
        <v>55</v>
      </c>
      <c r="D65" s="150" t="s">
        <v>56</v>
      </c>
      <c r="E65" s="150" t="s">
        <v>57</v>
      </c>
      <c r="F65" s="150" t="s">
        <v>57</v>
      </c>
      <c r="G65" s="150" t="s">
        <v>58</v>
      </c>
      <c r="H65" s="151" t="s">
        <v>59</v>
      </c>
      <c r="J65" s="632"/>
      <c r="K65" s="638"/>
      <c r="L65" s="149" t="s">
        <v>55</v>
      </c>
      <c r="M65" s="150" t="s">
        <v>60</v>
      </c>
      <c r="N65" s="150" t="s">
        <v>61</v>
      </c>
      <c r="O65" s="150" t="s">
        <v>62</v>
      </c>
      <c r="P65" s="150" t="s">
        <v>63</v>
      </c>
      <c r="Q65" s="151" t="s">
        <v>64</v>
      </c>
    </row>
    <row r="66" spans="1:17">
      <c r="A66" s="616" t="s">
        <v>65</v>
      </c>
      <c r="B66" s="618">
        <v>1440</v>
      </c>
      <c r="C66" s="148" t="s">
        <v>50</v>
      </c>
      <c r="D66" s="532">
        <f>D67*1440</f>
        <v>5772454.5599999996</v>
      </c>
      <c r="E66" s="532">
        <f t="shared" ref="E66:G66" si="10">E67*1440</f>
        <v>7496648.6400000006</v>
      </c>
      <c r="F66" s="532">
        <f t="shared" si="10"/>
        <v>9200216.1600000001</v>
      </c>
      <c r="G66" s="532">
        <f t="shared" si="10"/>
        <v>10668777.119999999</v>
      </c>
      <c r="H66" s="628" t="s">
        <v>66</v>
      </c>
      <c r="J66" s="616" t="s">
        <v>65</v>
      </c>
      <c r="K66" s="618">
        <v>6814</v>
      </c>
      <c r="L66" s="147" t="s">
        <v>50</v>
      </c>
      <c r="M66" s="531">
        <f>M67*6814</f>
        <v>36303888.131999999</v>
      </c>
      <c r="N66" s="531">
        <f t="shared" ref="N66:P66" si="11">N67*6814</f>
        <v>54525198.718000002</v>
      </c>
      <c r="O66" s="531">
        <f t="shared" si="11"/>
        <v>61418983.844000004</v>
      </c>
      <c r="P66" s="531">
        <f t="shared" si="11"/>
        <v>66735171.248000003</v>
      </c>
      <c r="Q66" s="628" t="s">
        <v>66</v>
      </c>
    </row>
    <row r="67" spans="1:17">
      <c r="A67" s="616"/>
      <c r="B67" s="618"/>
      <c r="C67" s="148" t="s">
        <v>51</v>
      </c>
      <c r="D67" s="532">
        <v>4008.6489999999999</v>
      </c>
      <c r="E67" s="532">
        <v>5206.0060000000003</v>
      </c>
      <c r="F67" s="532">
        <v>6389.0389999999998</v>
      </c>
      <c r="G67" s="532">
        <v>7408.8729999999996</v>
      </c>
      <c r="H67" s="629"/>
      <c r="J67" s="616"/>
      <c r="K67" s="618"/>
      <c r="L67" s="148" t="s">
        <v>51</v>
      </c>
      <c r="M67" s="325">
        <v>5327.8379999999997</v>
      </c>
      <c r="N67" s="325">
        <v>8001.9369999999999</v>
      </c>
      <c r="O67" s="325">
        <v>9013.6460000000006</v>
      </c>
      <c r="P67" s="325">
        <v>9793.8320000000003</v>
      </c>
      <c r="Q67" s="629"/>
    </row>
    <row r="68" spans="1:17" ht="30">
      <c r="A68" s="616"/>
      <c r="B68" s="618"/>
      <c r="C68" s="148" t="s">
        <v>52</v>
      </c>
      <c r="D68" s="532">
        <v>6254.0140000000001</v>
      </c>
      <c r="E68" s="532">
        <v>8113.2560000000003</v>
      </c>
      <c r="F68" s="532">
        <v>9935.4390000000003</v>
      </c>
      <c r="G68" s="532">
        <v>11621.76</v>
      </c>
      <c r="H68" s="629"/>
      <c r="J68" s="616"/>
      <c r="K68" s="618"/>
      <c r="L68" s="148" t="s">
        <v>52</v>
      </c>
      <c r="M68" s="376">
        <v>7727.5209999999997</v>
      </c>
      <c r="N68" s="325">
        <v>11758.72</v>
      </c>
      <c r="O68" s="325">
        <v>13737.19</v>
      </c>
      <c r="P68" s="325">
        <v>15149.87</v>
      </c>
      <c r="Q68" s="629"/>
    </row>
    <row r="69" spans="1:17">
      <c r="A69" s="616"/>
      <c r="B69" s="618"/>
      <c r="C69" s="148" t="s">
        <v>53</v>
      </c>
      <c r="D69" s="532">
        <v>995.66399999999999</v>
      </c>
      <c r="E69" s="532">
        <v>1285.1179999999999</v>
      </c>
      <c r="F69" s="532">
        <v>1641.665</v>
      </c>
      <c r="G69" s="532">
        <v>1922.6489999999999</v>
      </c>
      <c r="H69" s="629"/>
      <c r="J69" s="616"/>
      <c r="K69" s="618"/>
      <c r="L69" s="148" t="s">
        <v>53</v>
      </c>
      <c r="M69" s="325">
        <v>2296.1329999999998</v>
      </c>
      <c r="N69" s="325">
        <v>3674.924</v>
      </c>
      <c r="O69" s="325">
        <v>3932.9789999999998</v>
      </c>
      <c r="P69" s="325">
        <v>4044.4760000000001</v>
      </c>
      <c r="Q69" s="629"/>
    </row>
    <row r="70" spans="1:17" ht="15" customHeight="1">
      <c r="A70" s="616"/>
      <c r="B70" s="618"/>
      <c r="C70" s="148" t="s">
        <v>54</v>
      </c>
      <c r="D70" s="532">
        <v>3822.1669999999999</v>
      </c>
      <c r="E70" s="532">
        <v>5769.7259999999997</v>
      </c>
      <c r="F70" s="532">
        <v>6921.9189999999999</v>
      </c>
      <c r="G70" s="532">
        <v>8267.759</v>
      </c>
      <c r="H70" s="629"/>
      <c r="J70" s="616"/>
      <c r="K70" s="618"/>
      <c r="L70" s="148" t="s">
        <v>54</v>
      </c>
      <c r="M70" s="532">
        <v>5440.5410000000002</v>
      </c>
      <c r="N70" s="532">
        <v>9542.3590000000004</v>
      </c>
      <c r="O70" s="532">
        <v>11483.23</v>
      </c>
      <c r="P70" s="325">
        <v>12554.68</v>
      </c>
      <c r="Q70" s="629"/>
    </row>
    <row r="71" spans="1:17" ht="30">
      <c r="A71" s="632"/>
      <c r="B71" s="638"/>
      <c r="C71" s="149" t="s">
        <v>55</v>
      </c>
      <c r="D71" s="152" t="s">
        <v>67</v>
      </c>
      <c r="E71" s="152" t="s">
        <v>68</v>
      </c>
      <c r="F71" s="152" t="s">
        <v>69</v>
      </c>
      <c r="G71" s="152" t="s">
        <v>70</v>
      </c>
      <c r="H71" s="630"/>
      <c r="J71" s="632"/>
      <c r="K71" s="638"/>
      <c r="L71" s="149" t="s">
        <v>55</v>
      </c>
      <c r="M71" s="327" t="s">
        <v>71</v>
      </c>
      <c r="N71" s="327" t="s">
        <v>72</v>
      </c>
      <c r="O71" s="327" t="s">
        <v>73</v>
      </c>
      <c r="P71" s="327" t="s">
        <v>74</v>
      </c>
      <c r="Q71" s="630"/>
    </row>
    <row r="72" spans="1:17">
      <c r="A72" s="631" t="s">
        <v>75</v>
      </c>
      <c r="B72" s="637">
        <v>1881</v>
      </c>
      <c r="C72" s="147" t="s">
        <v>50</v>
      </c>
      <c r="D72" s="531">
        <f>D73*1881</f>
        <v>8857958.1750000007</v>
      </c>
      <c r="E72" s="531">
        <f t="shared" ref="E72:F72" si="12">E73*1881</f>
        <v>11753210.304</v>
      </c>
      <c r="F72" s="531">
        <f t="shared" si="12"/>
        <v>14528717.972999999</v>
      </c>
      <c r="G72" s="620" t="s">
        <v>66</v>
      </c>
      <c r="H72" s="623" t="s">
        <v>66</v>
      </c>
      <c r="J72" s="631" t="s">
        <v>75</v>
      </c>
      <c r="K72" s="637">
        <v>5365</v>
      </c>
      <c r="L72" s="148" t="s">
        <v>50</v>
      </c>
      <c r="M72" s="532">
        <f>M73*5365</f>
        <v>32077254.524999999</v>
      </c>
      <c r="N72" s="532">
        <f t="shared" ref="N72:O72" si="13">N73*5365</f>
        <v>47263697.140000001</v>
      </c>
      <c r="O72" s="532">
        <f t="shared" si="13"/>
        <v>52746131.625</v>
      </c>
      <c r="P72" s="621" t="s">
        <v>66</v>
      </c>
      <c r="Q72" s="623" t="s">
        <v>66</v>
      </c>
    </row>
    <row r="73" spans="1:17">
      <c r="A73" s="616"/>
      <c r="B73" s="618"/>
      <c r="C73" s="148" t="s">
        <v>51</v>
      </c>
      <c r="D73" s="324">
        <v>4709.1750000000002</v>
      </c>
      <c r="E73" s="532">
        <v>6248.384</v>
      </c>
      <c r="F73" s="532">
        <v>7723.933</v>
      </c>
      <c r="G73" s="621"/>
      <c r="H73" s="624"/>
      <c r="J73" s="616"/>
      <c r="K73" s="618"/>
      <c r="L73" s="148" t="s">
        <v>51</v>
      </c>
      <c r="M73" s="328">
        <v>5978.9849999999997</v>
      </c>
      <c r="N73" s="532">
        <v>8809.6360000000004</v>
      </c>
      <c r="O73" s="532">
        <v>9831.5249999999996</v>
      </c>
      <c r="P73" s="621"/>
      <c r="Q73" s="624"/>
    </row>
    <row r="74" spans="1:17" ht="30">
      <c r="A74" s="616"/>
      <c r="B74" s="618"/>
      <c r="C74" s="148" t="s">
        <v>52</v>
      </c>
      <c r="D74" s="532">
        <v>7024.5510000000004</v>
      </c>
      <c r="E74" s="532">
        <v>8999.3960000000006</v>
      </c>
      <c r="F74" s="532">
        <v>11476.08</v>
      </c>
      <c r="G74" s="621"/>
      <c r="H74" s="624"/>
      <c r="J74" s="616"/>
      <c r="K74" s="618"/>
      <c r="L74" s="148" t="s">
        <v>52</v>
      </c>
      <c r="M74" s="532">
        <v>8417.018</v>
      </c>
      <c r="N74" s="325">
        <v>12254.01</v>
      </c>
      <c r="O74" s="329">
        <v>14490.7</v>
      </c>
      <c r="P74" s="621"/>
      <c r="Q74" s="624"/>
    </row>
    <row r="75" spans="1:17">
      <c r="A75" s="616"/>
      <c r="B75" s="618"/>
      <c r="C75" s="148" t="s">
        <v>53</v>
      </c>
      <c r="D75" s="532">
        <v>1481.835</v>
      </c>
      <c r="E75" s="532">
        <v>2295.5419999999999</v>
      </c>
      <c r="F75" s="532">
        <v>3038.759</v>
      </c>
      <c r="G75" s="621"/>
      <c r="H75" s="624"/>
      <c r="J75" s="616"/>
      <c r="K75" s="618"/>
      <c r="L75" s="148" t="s">
        <v>53</v>
      </c>
      <c r="M75" s="329">
        <v>2769.5920000000001</v>
      </c>
      <c r="N75" s="325">
        <v>4678.848</v>
      </c>
      <c r="O75" s="532">
        <v>4842.1400000000003</v>
      </c>
      <c r="P75" s="621"/>
      <c r="Q75" s="624"/>
    </row>
    <row r="76" spans="1:17" ht="14.85" customHeight="1">
      <c r="A76" s="616"/>
      <c r="B76" s="618"/>
      <c r="C76" s="148" t="s">
        <v>54</v>
      </c>
      <c r="D76" s="532">
        <v>4482.8249999999998</v>
      </c>
      <c r="E76" s="532">
        <v>6018.8419999999996</v>
      </c>
      <c r="F76" s="532">
        <v>8523.9660000000003</v>
      </c>
      <c r="G76" s="621"/>
      <c r="H76" s="624"/>
      <c r="J76" s="616"/>
      <c r="K76" s="618"/>
      <c r="L76" s="148" t="s">
        <v>54</v>
      </c>
      <c r="M76" s="532">
        <v>5863.8559999999998</v>
      </c>
      <c r="N76" s="532">
        <v>9697.8850000000002</v>
      </c>
      <c r="O76" s="325">
        <v>11886.31</v>
      </c>
      <c r="P76" s="621"/>
      <c r="Q76" s="624"/>
    </row>
    <row r="77" spans="1:17" ht="30">
      <c r="A77" s="632"/>
      <c r="B77" s="638"/>
      <c r="C77" s="149" t="s">
        <v>55</v>
      </c>
      <c r="D77" s="150" t="s">
        <v>76</v>
      </c>
      <c r="E77" s="150" t="s">
        <v>77</v>
      </c>
      <c r="F77" s="150" t="s">
        <v>78</v>
      </c>
      <c r="G77" s="635"/>
      <c r="H77" s="636"/>
      <c r="J77" s="632"/>
      <c r="K77" s="638"/>
      <c r="L77" s="149" t="s">
        <v>55</v>
      </c>
      <c r="M77" s="537" t="s">
        <v>79</v>
      </c>
      <c r="N77" s="537" t="s">
        <v>80</v>
      </c>
      <c r="O77" s="537" t="s">
        <v>81</v>
      </c>
      <c r="P77" s="635"/>
      <c r="Q77" s="636"/>
    </row>
    <row r="78" spans="1:17">
      <c r="A78" s="631" t="s">
        <v>82</v>
      </c>
      <c r="B78" s="637">
        <v>1695</v>
      </c>
      <c r="C78" s="147" t="s">
        <v>50</v>
      </c>
      <c r="D78" s="154">
        <f>D79*1695</f>
        <v>9293347.6950000003</v>
      </c>
      <c r="E78" s="154">
        <f>E79*1695</f>
        <v>11728608.435000001</v>
      </c>
      <c r="F78" s="620" t="s">
        <v>66</v>
      </c>
      <c r="G78" s="620" t="s">
        <v>66</v>
      </c>
      <c r="H78" s="623" t="s">
        <v>66</v>
      </c>
      <c r="J78" s="631" t="s">
        <v>82</v>
      </c>
      <c r="K78" s="637">
        <v>5149</v>
      </c>
      <c r="L78" s="147" t="s">
        <v>50</v>
      </c>
      <c r="M78" s="532">
        <f>M79*5149</f>
        <v>34063719.251000002</v>
      </c>
      <c r="N78" s="532">
        <f>N79*5149</f>
        <v>65701342.980000004</v>
      </c>
      <c r="O78" s="620" t="s">
        <v>66</v>
      </c>
      <c r="P78" s="620" t="s">
        <v>66</v>
      </c>
      <c r="Q78" s="623" t="s">
        <v>66</v>
      </c>
    </row>
    <row r="79" spans="1:17">
      <c r="A79" s="616"/>
      <c r="B79" s="618"/>
      <c r="C79" s="148" t="s">
        <v>51</v>
      </c>
      <c r="D79" s="532">
        <v>5482.8010000000004</v>
      </c>
      <c r="E79" s="532">
        <v>6919.5330000000004</v>
      </c>
      <c r="F79" s="621"/>
      <c r="G79" s="621"/>
      <c r="H79" s="624"/>
      <c r="J79" s="616"/>
      <c r="K79" s="618"/>
      <c r="L79" s="148" t="s">
        <v>51</v>
      </c>
      <c r="M79" s="532">
        <v>6615.5990000000002</v>
      </c>
      <c r="N79" s="532">
        <v>12760.02</v>
      </c>
      <c r="O79" s="621"/>
      <c r="P79" s="621"/>
      <c r="Q79" s="624"/>
    </row>
    <row r="80" spans="1:17" ht="30">
      <c r="A80" s="616"/>
      <c r="B80" s="618"/>
      <c r="C80" s="148" t="s">
        <v>52</v>
      </c>
      <c r="D80" s="325">
        <v>7699.5429999999997</v>
      </c>
      <c r="E80" s="325">
        <v>9496.848</v>
      </c>
      <c r="F80" s="621"/>
      <c r="G80" s="621"/>
      <c r="H80" s="624"/>
      <c r="J80" s="616"/>
      <c r="K80" s="618"/>
      <c r="L80" s="148" t="s">
        <v>52</v>
      </c>
      <c r="M80" s="532">
        <v>8772.5259999999998</v>
      </c>
      <c r="N80" s="532">
        <v>6392.4070000000002</v>
      </c>
      <c r="O80" s="621"/>
      <c r="P80" s="621"/>
      <c r="Q80" s="624"/>
    </row>
    <row r="81" spans="1:17">
      <c r="A81" s="616"/>
      <c r="B81" s="618"/>
      <c r="C81" s="148" t="s">
        <v>53</v>
      </c>
      <c r="D81" s="165">
        <v>2065.7359999999999</v>
      </c>
      <c r="E81" s="167">
        <v>3358.0970000000002</v>
      </c>
      <c r="F81" s="621"/>
      <c r="G81" s="621"/>
      <c r="H81" s="624"/>
      <c r="J81" s="616"/>
      <c r="K81" s="618"/>
      <c r="L81" s="148" t="s">
        <v>53</v>
      </c>
      <c r="M81" s="532">
        <v>3696.2280000000001</v>
      </c>
      <c r="N81" s="532">
        <v>5569.74</v>
      </c>
      <c r="O81" s="621"/>
      <c r="P81" s="621"/>
      <c r="Q81" s="624"/>
    </row>
    <row r="82" spans="1:17" ht="17.100000000000001" customHeight="1">
      <c r="A82" s="616"/>
      <c r="B82" s="618"/>
      <c r="C82" s="148" t="s">
        <v>54</v>
      </c>
      <c r="D82" s="532">
        <v>5064.72</v>
      </c>
      <c r="E82" s="325">
        <v>6790.4059999999999</v>
      </c>
      <c r="F82" s="621"/>
      <c r="G82" s="621"/>
      <c r="H82" s="624"/>
      <c r="J82" s="616"/>
      <c r="K82" s="618"/>
      <c r="L82" s="148" t="s">
        <v>54</v>
      </c>
      <c r="M82" s="532">
        <v>6392.4070000000002</v>
      </c>
      <c r="N82" s="532">
        <v>10249.379999999999</v>
      </c>
      <c r="O82" s="621"/>
      <c r="P82" s="621"/>
      <c r="Q82" s="624"/>
    </row>
    <row r="83" spans="1:17" ht="30.75" thickBot="1">
      <c r="A83" s="617"/>
      <c r="B83" s="619"/>
      <c r="C83" s="156" t="s">
        <v>55</v>
      </c>
      <c r="D83" s="157" t="s">
        <v>83</v>
      </c>
      <c r="E83" s="157" t="s">
        <v>84</v>
      </c>
      <c r="F83" s="622"/>
      <c r="G83" s="622"/>
      <c r="H83" s="625"/>
      <c r="J83" s="617"/>
      <c r="K83" s="619"/>
      <c r="L83" s="156" t="s">
        <v>55</v>
      </c>
      <c r="M83" s="157" t="s">
        <v>85</v>
      </c>
      <c r="N83" s="157" t="s">
        <v>86</v>
      </c>
      <c r="O83" s="622"/>
      <c r="P83" s="622"/>
      <c r="Q83" s="625"/>
    </row>
    <row r="84" spans="1:17">
      <c r="A84" s="541"/>
      <c r="B84" s="530"/>
      <c r="C84" s="148"/>
      <c r="D84" s="330"/>
      <c r="E84" s="330"/>
      <c r="F84" s="532"/>
      <c r="G84" s="532"/>
      <c r="H84" s="532"/>
      <c r="J84" s="541"/>
      <c r="K84" s="530"/>
      <c r="L84" s="148"/>
      <c r="M84" s="330"/>
      <c r="N84" s="330"/>
      <c r="O84" s="532"/>
      <c r="P84" s="532"/>
      <c r="Q84" s="532"/>
    </row>
    <row r="85" spans="1:17" ht="15.75" thickBot="1">
      <c r="A85" s="158"/>
      <c r="B85" s="158"/>
      <c r="G85" s="155"/>
      <c r="H85" s="155"/>
      <c r="J85" s="158"/>
      <c r="P85" s="155"/>
      <c r="Q85" s="155"/>
    </row>
    <row r="86" spans="1:17">
      <c r="A86" s="642" t="s">
        <v>110</v>
      </c>
      <c r="B86" s="643"/>
      <c r="C86" s="643"/>
      <c r="D86" s="643"/>
      <c r="E86" s="643"/>
      <c r="F86" s="643"/>
      <c r="G86" s="643"/>
      <c r="H86" s="644"/>
      <c r="J86" s="642" t="s">
        <v>111</v>
      </c>
      <c r="K86" s="643"/>
      <c r="L86" s="643"/>
      <c r="M86" s="643"/>
      <c r="N86" s="643"/>
      <c r="O86" s="643"/>
      <c r="P86" s="643"/>
      <c r="Q86" s="644"/>
    </row>
    <row r="87" spans="1:17" ht="15.75" thickBot="1">
      <c r="A87" s="639" t="s">
        <v>109</v>
      </c>
      <c r="B87" s="640"/>
      <c r="C87" s="640"/>
      <c r="D87" s="640"/>
      <c r="E87" s="640"/>
      <c r="F87" s="640"/>
      <c r="G87" s="640"/>
      <c r="H87" s="641"/>
      <c r="J87" s="639" t="s">
        <v>109</v>
      </c>
      <c r="K87" s="640"/>
      <c r="L87" s="640"/>
      <c r="M87" s="640"/>
      <c r="N87" s="640"/>
      <c r="O87" s="640"/>
      <c r="P87" s="640"/>
      <c r="Q87" s="641"/>
    </row>
    <row r="88" spans="1:17" ht="45">
      <c r="A88" s="160" t="s">
        <v>41</v>
      </c>
      <c r="B88" s="160" t="s">
        <v>42</v>
      </c>
      <c r="C88" s="162" t="s">
        <v>43</v>
      </c>
      <c r="D88" s="161" t="s">
        <v>44</v>
      </c>
      <c r="E88" s="163" t="s">
        <v>45</v>
      </c>
      <c r="F88" s="163" t="s">
        <v>46</v>
      </c>
      <c r="G88" s="163" t="s">
        <v>47</v>
      </c>
      <c r="H88" s="164" t="s">
        <v>48</v>
      </c>
      <c r="J88" s="160" t="s">
        <v>41</v>
      </c>
      <c r="K88" s="161" t="s">
        <v>42</v>
      </c>
      <c r="L88" s="162" t="s">
        <v>43</v>
      </c>
      <c r="M88" s="161" t="s">
        <v>44</v>
      </c>
      <c r="N88" s="163" t="s">
        <v>45</v>
      </c>
      <c r="O88" s="163" t="s">
        <v>46</v>
      </c>
      <c r="P88" s="163" t="s">
        <v>47</v>
      </c>
      <c r="Q88" s="164" t="s">
        <v>48</v>
      </c>
    </row>
    <row r="89" spans="1:17">
      <c r="A89" s="631" t="s">
        <v>49</v>
      </c>
      <c r="B89" s="633">
        <v>1074</v>
      </c>
      <c r="C89" s="147" t="s">
        <v>50</v>
      </c>
      <c r="D89" s="531">
        <f>D90*1074</f>
        <v>4135416.594</v>
      </c>
      <c r="E89" s="531">
        <f t="shared" ref="E89:H89" si="14">E90*1074</f>
        <v>5729149.8960000006</v>
      </c>
      <c r="F89" s="531">
        <f t="shared" si="14"/>
        <v>7159422.5460000001</v>
      </c>
      <c r="G89" s="531">
        <f t="shared" si="14"/>
        <v>8142874.6799999997</v>
      </c>
      <c r="H89" s="534">
        <f t="shared" si="14"/>
        <v>9050302.6500000004</v>
      </c>
      <c r="J89" s="631" t="s">
        <v>49</v>
      </c>
      <c r="K89" s="637">
        <v>5177</v>
      </c>
      <c r="L89" s="147" t="s">
        <v>50</v>
      </c>
      <c r="M89" s="531">
        <f>M90*5177</f>
        <v>27654488.245999999</v>
      </c>
      <c r="N89" s="531">
        <f t="shared" ref="N89:Q89" si="15">N90*5177</f>
        <v>41663108.564000003</v>
      </c>
      <c r="O89" s="531">
        <f t="shared" si="15"/>
        <v>46210844.214000002</v>
      </c>
      <c r="P89" s="531">
        <f t="shared" si="15"/>
        <v>49876807.339000002</v>
      </c>
      <c r="Q89" s="534">
        <f t="shared" si="15"/>
        <v>52703102.479999997</v>
      </c>
    </row>
    <row r="90" spans="1:17">
      <c r="A90" s="616"/>
      <c r="B90" s="626"/>
      <c r="C90" s="148" t="s">
        <v>51</v>
      </c>
      <c r="D90" s="532">
        <v>3850.4810000000002</v>
      </c>
      <c r="E90" s="532">
        <v>5334.4040000000005</v>
      </c>
      <c r="F90" s="532">
        <v>6666.1289999999999</v>
      </c>
      <c r="G90" s="532">
        <v>7581.82</v>
      </c>
      <c r="H90" s="535">
        <v>8426.7250000000004</v>
      </c>
      <c r="J90" s="616"/>
      <c r="K90" s="618"/>
      <c r="L90" s="148" t="s">
        <v>51</v>
      </c>
      <c r="M90" s="325">
        <v>5341.7979999999998</v>
      </c>
      <c r="N90" s="325">
        <v>8047.732</v>
      </c>
      <c r="O90" s="325">
        <v>8926.1820000000007</v>
      </c>
      <c r="P90" s="325">
        <v>9634.3070000000007</v>
      </c>
      <c r="Q90" s="326">
        <v>10180.24</v>
      </c>
    </row>
    <row r="91" spans="1:17" ht="30">
      <c r="A91" s="616"/>
      <c r="B91" s="626"/>
      <c r="C91" s="148" t="s">
        <v>52</v>
      </c>
      <c r="D91" s="532">
        <v>6045.9309999999996</v>
      </c>
      <c r="E91" s="322">
        <v>8339.3739999999998</v>
      </c>
      <c r="F91" s="322">
        <v>10421.280000000001</v>
      </c>
      <c r="G91" s="322">
        <v>11818.4</v>
      </c>
      <c r="H91" s="323">
        <v>13368.25</v>
      </c>
      <c r="J91" s="616"/>
      <c r="K91" s="618"/>
      <c r="L91" s="148" t="s">
        <v>52</v>
      </c>
      <c r="M91" s="532">
        <v>7633.0349999999999</v>
      </c>
      <c r="N91" s="325">
        <v>11667.07</v>
      </c>
      <c r="O91" s="325">
        <v>13406.11</v>
      </c>
      <c r="P91" s="325">
        <v>14866.41</v>
      </c>
      <c r="Q91" s="535">
        <v>16211.35</v>
      </c>
    </row>
    <row r="92" spans="1:17">
      <c r="A92" s="616"/>
      <c r="B92" s="626"/>
      <c r="C92" s="148" t="s">
        <v>53</v>
      </c>
      <c r="D92" s="532">
        <v>833.08870000000002</v>
      </c>
      <c r="E92" s="532">
        <v>1601.2329999999999</v>
      </c>
      <c r="F92" s="532">
        <v>2133.5030000000002</v>
      </c>
      <c r="G92" s="532">
        <v>2402.2049999999999</v>
      </c>
      <c r="H92" s="535">
        <v>2174.973</v>
      </c>
      <c r="J92" s="616"/>
      <c r="K92" s="618"/>
      <c r="L92" s="148" t="s">
        <v>53</v>
      </c>
      <c r="M92" s="325">
        <v>2226.212</v>
      </c>
      <c r="N92" s="325">
        <v>3760.0929999999998</v>
      </c>
      <c r="O92" s="325">
        <v>3824.424</v>
      </c>
      <c r="P92" s="325">
        <v>3958.1669999999999</v>
      </c>
      <c r="Q92" s="326">
        <v>3640.0070000000001</v>
      </c>
    </row>
    <row r="93" spans="1:17" ht="15" customHeight="1">
      <c r="A93" s="616"/>
      <c r="B93" s="626"/>
      <c r="C93" s="148" t="s">
        <v>54</v>
      </c>
      <c r="D93" s="532">
        <v>3260.9389999999999</v>
      </c>
      <c r="E93" s="532">
        <v>5872.71</v>
      </c>
      <c r="F93" s="532">
        <v>7448.7259999999997</v>
      </c>
      <c r="G93" s="532">
        <v>8849.482</v>
      </c>
      <c r="H93" s="535">
        <v>10273.92</v>
      </c>
      <c r="J93" s="616"/>
      <c r="K93" s="618"/>
      <c r="L93" s="148" t="s">
        <v>54</v>
      </c>
      <c r="M93" s="532">
        <v>5138.0230000000001</v>
      </c>
      <c r="N93" s="532">
        <v>9079.9789999999994</v>
      </c>
      <c r="O93" s="532">
        <v>10772.75</v>
      </c>
      <c r="P93" s="532">
        <v>11953.9</v>
      </c>
      <c r="Q93" s="535">
        <v>13218.21</v>
      </c>
    </row>
    <row r="94" spans="1:17" ht="30">
      <c r="A94" s="632"/>
      <c r="B94" s="634"/>
      <c r="C94" s="149" t="s">
        <v>55</v>
      </c>
      <c r="D94" s="150" t="s">
        <v>56</v>
      </c>
      <c r="E94" s="150" t="s">
        <v>57</v>
      </c>
      <c r="F94" s="150" t="s">
        <v>57</v>
      </c>
      <c r="G94" s="150" t="s">
        <v>58</v>
      </c>
      <c r="H94" s="151" t="s">
        <v>59</v>
      </c>
      <c r="J94" s="632"/>
      <c r="K94" s="638"/>
      <c r="L94" s="149" t="s">
        <v>55</v>
      </c>
      <c r="M94" s="150" t="s">
        <v>60</v>
      </c>
      <c r="N94" s="150" t="s">
        <v>61</v>
      </c>
      <c r="O94" s="150" t="s">
        <v>62</v>
      </c>
      <c r="P94" s="150" t="s">
        <v>63</v>
      </c>
      <c r="Q94" s="151" t="s">
        <v>64</v>
      </c>
    </row>
    <row r="95" spans="1:17">
      <c r="A95" s="631" t="s">
        <v>89</v>
      </c>
      <c r="B95" s="633">
        <v>2514</v>
      </c>
      <c r="C95" s="147" t="s">
        <v>50</v>
      </c>
      <c r="D95" s="319">
        <f>D96*2514</f>
        <v>9907872.6060000006</v>
      </c>
      <c r="E95" s="319">
        <f t="shared" ref="E95:G95" si="16">E96*2514</f>
        <v>13225797.012</v>
      </c>
      <c r="F95" s="319">
        <f t="shared" si="16"/>
        <v>16359638.796</v>
      </c>
      <c r="G95" s="319">
        <f t="shared" si="16"/>
        <v>18811651.097999997</v>
      </c>
      <c r="H95" s="628" t="s">
        <v>66</v>
      </c>
      <c r="J95" s="631" t="s">
        <v>89</v>
      </c>
      <c r="K95" s="637">
        <v>11991</v>
      </c>
      <c r="L95" s="147" t="s">
        <v>50</v>
      </c>
      <c r="M95" s="531">
        <f>M96*11991</f>
        <v>63958375.214999996</v>
      </c>
      <c r="N95" s="531">
        <f t="shared" ref="N95:P95" si="17">N96*11991</f>
        <v>96188312.619000003</v>
      </c>
      <c r="O95" s="531">
        <f t="shared" si="17"/>
        <v>107629825.044</v>
      </c>
      <c r="P95" s="531">
        <f t="shared" si="17"/>
        <v>116611983.369</v>
      </c>
      <c r="Q95" s="628"/>
    </row>
    <row r="96" spans="1:17">
      <c r="A96" s="616"/>
      <c r="B96" s="626"/>
      <c r="C96" s="148" t="s">
        <v>51</v>
      </c>
      <c r="D96" s="320">
        <v>3941.0790000000002</v>
      </c>
      <c r="E96" s="320">
        <v>5260.8580000000002</v>
      </c>
      <c r="F96" s="320">
        <v>6507.4139999999998</v>
      </c>
      <c r="G96" s="320">
        <v>7482.7569999999996</v>
      </c>
      <c r="H96" s="629"/>
      <c r="J96" s="616"/>
      <c r="K96" s="618"/>
      <c r="L96" s="148" t="s">
        <v>51</v>
      </c>
      <c r="M96" s="532">
        <v>5333.8649999999998</v>
      </c>
      <c r="N96" s="532">
        <v>8021.7089999999998</v>
      </c>
      <c r="O96" s="532">
        <v>8975.884</v>
      </c>
      <c r="P96" s="532">
        <v>9724.9590000000007</v>
      </c>
      <c r="Q96" s="629"/>
    </row>
    <row r="97" spans="1:17" ht="30">
      <c r="A97" s="616"/>
      <c r="B97" s="626"/>
      <c r="C97" s="148" t="s">
        <v>52</v>
      </c>
      <c r="D97" s="320">
        <v>6165.4459999999999</v>
      </c>
      <c r="E97" s="320">
        <v>8209.6820000000007</v>
      </c>
      <c r="F97" s="320">
        <v>10142.370000000001</v>
      </c>
      <c r="G97" s="320">
        <v>11706.07</v>
      </c>
      <c r="H97" s="629"/>
      <c r="J97" s="616"/>
      <c r="K97" s="618"/>
      <c r="L97" s="148" t="s">
        <v>52</v>
      </c>
      <c r="M97" s="532">
        <v>7686.3810000000003</v>
      </c>
      <c r="N97" s="325">
        <v>11718.85</v>
      </c>
      <c r="O97" s="325">
        <v>13593.06</v>
      </c>
      <c r="P97" s="532">
        <v>15027.32</v>
      </c>
      <c r="Q97" s="629"/>
    </row>
    <row r="98" spans="1:17">
      <c r="A98" s="616"/>
      <c r="B98" s="626"/>
      <c r="C98" s="148" t="s">
        <v>53</v>
      </c>
      <c r="D98" s="320">
        <v>927.73820000000001</v>
      </c>
      <c r="E98" s="320">
        <v>1424.952</v>
      </c>
      <c r="F98" s="320">
        <v>1827.251</v>
      </c>
      <c r="G98" s="320">
        <v>2211.4699999999998</v>
      </c>
      <c r="H98" s="629"/>
      <c r="J98" s="616"/>
      <c r="K98" s="618"/>
      <c r="L98" s="148" t="s">
        <v>53</v>
      </c>
      <c r="M98" s="532">
        <v>2258.6309999999999</v>
      </c>
      <c r="N98" s="532">
        <v>3714.009</v>
      </c>
      <c r="O98" s="532">
        <v>3895.3969999999999</v>
      </c>
      <c r="P98" s="532">
        <v>4016.9659999999999</v>
      </c>
      <c r="Q98" s="629"/>
    </row>
    <row r="99" spans="1:17" ht="15.75" customHeight="1">
      <c r="A99" s="616"/>
      <c r="B99" s="626"/>
      <c r="C99" s="148" t="s">
        <v>54</v>
      </c>
      <c r="D99" s="320">
        <v>3540.8159999999998</v>
      </c>
      <c r="E99" s="320">
        <v>5804.5039999999999</v>
      </c>
      <c r="F99" s="321">
        <v>7177.1840000000002</v>
      </c>
      <c r="G99" s="320">
        <v>8534.0069999999996</v>
      </c>
      <c r="H99" s="629"/>
      <c r="J99" s="616"/>
      <c r="K99" s="618"/>
      <c r="L99" s="148" t="s">
        <v>54</v>
      </c>
      <c r="M99" s="532">
        <v>5309.04</v>
      </c>
      <c r="N99" s="532">
        <v>9311.2489999999998</v>
      </c>
      <c r="O99" s="532">
        <v>11205.58</v>
      </c>
      <c r="P99" s="532">
        <v>12267.57</v>
      </c>
      <c r="Q99" s="629"/>
    </row>
    <row r="100" spans="1:17" ht="30">
      <c r="A100" s="632"/>
      <c r="B100" s="634"/>
      <c r="C100" s="149" t="s">
        <v>55</v>
      </c>
      <c r="D100" s="150" t="s">
        <v>90</v>
      </c>
      <c r="E100" s="150" t="s">
        <v>91</v>
      </c>
      <c r="F100" s="150" t="s">
        <v>92</v>
      </c>
      <c r="G100" s="150" t="s">
        <v>90</v>
      </c>
      <c r="H100" s="630"/>
      <c r="J100" s="632"/>
      <c r="K100" s="638"/>
      <c r="L100" s="149" t="s">
        <v>55</v>
      </c>
      <c r="M100" s="150" t="s">
        <v>93</v>
      </c>
      <c r="N100" s="150" t="s">
        <v>94</v>
      </c>
      <c r="O100" s="150" t="s">
        <v>95</v>
      </c>
      <c r="P100" s="150" t="s">
        <v>96</v>
      </c>
      <c r="Q100" s="630"/>
    </row>
    <row r="101" spans="1:17">
      <c r="A101" s="631" t="s">
        <v>97</v>
      </c>
      <c r="B101" s="633">
        <v>4395</v>
      </c>
      <c r="C101" s="147" t="s">
        <v>50</v>
      </c>
      <c r="D101" s="531">
        <f>D102*4395</f>
        <v>18765832.530000001</v>
      </c>
      <c r="E101" s="531">
        <f t="shared" ref="E101:F101" si="18">E102*4395</f>
        <v>24979008.870000001</v>
      </c>
      <c r="F101" s="531">
        <f t="shared" si="18"/>
        <v>30888358.859999999</v>
      </c>
      <c r="G101" s="620" t="s">
        <v>66</v>
      </c>
      <c r="H101" s="623" t="s">
        <v>66</v>
      </c>
      <c r="J101" s="631" t="s">
        <v>97</v>
      </c>
      <c r="K101" s="637">
        <v>17356</v>
      </c>
      <c r="L101" s="147" t="s">
        <v>50</v>
      </c>
      <c r="M101" s="531">
        <f>M102*17356</f>
        <v>96035625.035999998</v>
      </c>
      <c r="N101" s="531">
        <f t="shared" ref="N101:O101" si="19">N102*17356</f>
        <v>143452008.764</v>
      </c>
      <c r="O101" s="531">
        <f t="shared" si="19"/>
        <v>160375965.85600001</v>
      </c>
      <c r="P101" s="620"/>
      <c r="Q101" s="623"/>
    </row>
    <row r="102" spans="1:17">
      <c r="A102" s="616"/>
      <c r="B102" s="626"/>
      <c r="C102" s="148" t="s">
        <v>51</v>
      </c>
      <c r="D102" s="532">
        <v>4269.8140000000003</v>
      </c>
      <c r="E102" s="532">
        <v>5683.5060000000003</v>
      </c>
      <c r="F102" s="532">
        <v>7028.0680000000002</v>
      </c>
      <c r="G102" s="621"/>
      <c r="H102" s="624"/>
      <c r="J102" s="616"/>
      <c r="K102" s="618"/>
      <c r="L102" s="148" t="s">
        <v>51</v>
      </c>
      <c r="M102" s="532">
        <v>5533.2809999999999</v>
      </c>
      <c r="N102" s="532">
        <v>8265.2690000000002</v>
      </c>
      <c r="O102" s="532">
        <v>9240.3760000000002</v>
      </c>
      <c r="P102" s="621"/>
      <c r="Q102" s="624"/>
    </row>
    <row r="103" spans="1:17" ht="30">
      <c r="A103" s="616"/>
      <c r="B103" s="626"/>
      <c r="C103" s="148" t="s">
        <v>52</v>
      </c>
      <c r="D103" s="532">
        <v>6543.1769999999997</v>
      </c>
      <c r="E103" s="532">
        <v>8563.2530000000006</v>
      </c>
      <c r="F103" s="532">
        <v>10728.85</v>
      </c>
      <c r="G103" s="621"/>
      <c r="H103" s="624"/>
      <c r="J103" s="616"/>
      <c r="K103" s="618"/>
      <c r="L103" s="148" t="s">
        <v>52</v>
      </c>
      <c r="M103" s="532">
        <v>7915.8950000000004</v>
      </c>
      <c r="N103" s="532">
        <v>11889.93</v>
      </c>
      <c r="O103" s="532">
        <v>13875.75</v>
      </c>
      <c r="P103" s="621"/>
      <c r="Q103" s="624"/>
    </row>
    <row r="104" spans="1:17">
      <c r="A104" s="616"/>
      <c r="B104" s="626"/>
      <c r="C104" s="148" t="s">
        <v>53</v>
      </c>
      <c r="D104" s="532">
        <v>1145.009</v>
      </c>
      <c r="E104" s="532">
        <v>1803.452</v>
      </c>
      <c r="F104" s="532">
        <v>2353.3420000000001</v>
      </c>
      <c r="G104" s="621"/>
      <c r="H104" s="624"/>
      <c r="J104" s="616"/>
      <c r="K104" s="618"/>
      <c r="L104" s="148" t="s">
        <v>53</v>
      </c>
      <c r="M104" s="532">
        <v>2379.4119999999998</v>
      </c>
      <c r="N104" s="532">
        <v>4008.1860000000001</v>
      </c>
      <c r="O104" s="532">
        <v>4186.9170000000004</v>
      </c>
      <c r="P104" s="621"/>
      <c r="Q104" s="624"/>
    </row>
    <row r="105" spans="1:17" ht="16.350000000000001" customHeight="1">
      <c r="A105" s="616"/>
      <c r="B105" s="626"/>
      <c r="C105" s="148" t="s">
        <v>54</v>
      </c>
      <c r="D105" s="532">
        <v>3899.1109999999999</v>
      </c>
      <c r="E105" s="532">
        <v>5895.9859999999999</v>
      </c>
      <c r="F105" s="532">
        <v>7725.9669999999996</v>
      </c>
      <c r="G105" s="621"/>
      <c r="H105" s="624"/>
      <c r="J105" s="616"/>
      <c r="K105" s="618"/>
      <c r="L105" s="148" t="s">
        <v>54</v>
      </c>
      <c r="M105" s="532">
        <v>5479.1189999999997</v>
      </c>
      <c r="N105" s="532">
        <v>9407.6119999999992</v>
      </c>
      <c r="O105" s="532">
        <v>11401.85</v>
      </c>
      <c r="P105" s="621"/>
      <c r="Q105" s="624"/>
    </row>
    <row r="106" spans="1:17" ht="30">
      <c r="A106" s="632"/>
      <c r="B106" s="634"/>
      <c r="C106" s="149" t="s">
        <v>55</v>
      </c>
      <c r="D106" s="150" t="s">
        <v>98</v>
      </c>
      <c r="E106" s="150" t="s">
        <v>99</v>
      </c>
      <c r="F106" s="150" t="s">
        <v>100</v>
      </c>
      <c r="G106" s="635"/>
      <c r="H106" s="636"/>
      <c r="J106" s="632"/>
      <c r="K106" s="638"/>
      <c r="L106" s="149" t="s">
        <v>55</v>
      </c>
      <c r="M106" s="150" t="s">
        <v>101</v>
      </c>
      <c r="N106" s="150" t="s">
        <v>102</v>
      </c>
      <c r="O106" s="150" t="s">
        <v>103</v>
      </c>
      <c r="P106" s="635"/>
      <c r="Q106" s="636"/>
    </row>
    <row r="107" spans="1:17">
      <c r="A107" s="616" t="s">
        <v>104</v>
      </c>
      <c r="B107" s="626">
        <v>6090</v>
      </c>
      <c r="C107" s="148" t="s">
        <v>50</v>
      </c>
      <c r="D107" s="532">
        <f>D108*6090</f>
        <v>28059181.710000001</v>
      </c>
      <c r="E107" s="532">
        <f>E108*6090</f>
        <v>36707615.07</v>
      </c>
      <c r="F107" s="620" t="s">
        <v>66</v>
      </c>
      <c r="G107" s="620" t="s">
        <v>66</v>
      </c>
      <c r="H107" s="623" t="s">
        <v>66</v>
      </c>
      <c r="J107" s="616" t="s">
        <v>104</v>
      </c>
      <c r="K107" s="618">
        <v>22505</v>
      </c>
      <c r="L107" s="148" t="s">
        <v>50</v>
      </c>
      <c r="M107" s="531">
        <f>M108*22505</f>
        <v>130099357.04499999</v>
      </c>
      <c r="N107" s="531">
        <f>N108*22505</f>
        <v>191991122.715</v>
      </c>
      <c r="O107" s="620"/>
      <c r="P107" s="620"/>
      <c r="Q107" s="623"/>
    </row>
    <row r="108" spans="1:17">
      <c r="A108" s="616"/>
      <c r="B108" s="626"/>
      <c r="C108" s="148" t="s">
        <v>51</v>
      </c>
      <c r="D108" s="532">
        <v>4607.4189999999999</v>
      </c>
      <c r="E108" s="532">
        <v>6027.5230000000001</v>
      </c>
      <c r="F108" s="621"/>
      <c r="G108" s="621"/>
      <c r="H108" s="624"/>
      <c r="J108" s="616"/>
      <c r="K108" s="618"/>
      <c r="L108" s="148" t="s">
        <v>51</v>
      </c>
      <c r="M108" s="325">
        <v>5780.9089999999997</v>
      </c>
      <c r="N108" s="325">
        <v>8531.0429999999997</v>
      </c>
      <c r="O108" s="621"/>
      <c r="P108" s="621"/>
      <c r="Q108" s="624"/>
    </row>
    <row r="109" spans="1:17" ht="30">
      <c r="A109" s="616"/>
      <c r="B109" s="626"/>
      <c r="C109" s="148" t="s">
        <v>52</v>
      </c>
      <c r="D109" s="532">
        <v>6885.6880000000001</v>
      </c>
      <c r="E109" s="532">
        <v>8840.9480000000003</v>
      </c>
      <c r="F109" s="621"/>
      <c r="G109" s="621"/>
      <c r="H109" s="624"/>
      <c r="J109" s="616"/>
      <c r="K109" s="618"/>
      <c r="L109" s="148" t="s">
        <v>52</v>
      </c>
      <c r="M109" s="532">
        <v>8123.5940000000001</v>
      </c>
      <c r="N109" s="325">
        <v>12098.5</v>
      </c>
      <c r="O109" s="621"/>
      <c r="P109" s="621"/>
      <c r="Q109" s="624"/>
    </row>
    <row r="110" spans="1:17">
      <c r="A110" s="616"/>
      <c r="B110" s="626"/>
      <c r="C110" s="148" t="s">
        <v>53</v>
      </c>
      <c r="D110" s="532">
        <v>1397.461</v>
      </c>
      <c r="E110" s="532">
        <v>2220.433</v>
      </c>
      <c r="F110" s="621"/>
      <c r="G110" s="621"/>
      <c r="H110" s="624"/>
      <c r="J110" s="616"/>
      <c r="K110" s="618"/>
      <c r="L110" s="148" t="s">
        <v>53</v>
      </c>
      <c r="M110" s="532">
        <v>2665.8829999999998</v>
      </c>
      <c r="N110" s="325">
        <v>4339.3509999999997</v>
      </c>
      <c r="O110" s="621"/>
      <c r="P110" s="621"/>
      <c r="Q110" s="624"/>
    </row>
    <row r="111" spans="1:17" ht="16.5" customHeight="1">
      <c r="A111" s="616"/>
      <c r="B111" s="626"/>
      <c r="C111" s="148" t="s">
        <v>54</v>
      </c>
      <c r="D111" s="532">
        <v>4193.9070000000002</v>
      </c>
      <c r="E111" s="532">
        <v>6199.491</v>
      </c>
      <c r="F111" s="621"/>
      <c r="G111" s="621"/>
      <c r="H111" s="624"/>
      <c r="J111" s="616"/>
      <c r="K111" s="618"/>
      <c r="L111" s="148" t="s">
        <v>54</v>
      </c>
      <c r="M111" s="325">
        <v>5685.4049999999997</v>
      </c>
      <c r="N111" s="325">
        <v>9602.4419999999991</v>
      </c>
      <c r="O111" s="621"/>
      <c r="P111" s="621"/>
      <c r="Q111" s="624"/>
    </row>
    <row r="112" spans="1:17" ht="30.75" thickBot="1">
      <c r="A112" s="617"/>
      <c r="B112" s="627"/>
      <c r="C112" s="156" t="s">
        <v>55</v>
      </c>
      <c r="D112" s="168" t="s">
        <v>105</v>
      </c>
      <c r="E112" s="168" t="s">
        <v>106</v>
      </c>
      <c r="F112" s="622"/>
      <c r="G112" s="622"/>
      <c r="H112" s="625"/>
      <c r="J112" s="617"/>
      <c r="K112" s="619"/>
      <c r="L112" s="156" t="s">
        <v>55</v>
      </c>
      <c r="M112" s="168" t="s">
        <v>107</v>
      </c>
      <c r="N112" s="168" t="s">
        <v>108</v>
      </c>
      <c r="O112" s="622"/>
      <c r="P112" s="622"/>
      <c r="Q112" s="625"/>
    </row>
  </sheetData>
  <mergeCells count="122">
    <mergeCell ref="A87:H87"/>
    <mergeCell ref="A86:H86"/>
    <mergeCell ref="J86:Q86"/>
    <mergeCell ref="J87:Q87"/>
    <mergeCell ref="P48:P53"/>
    <mergeCell ref="Q48:Q53"/>
    <mergeCell ref="P42:P47"/>
    <mergeCell ref="Q42:Q47"/>
    <mergeCell ref="A48:A53"/>
    <mergeCell ref="B48:B53"/>
    <mergeCell ref="F48:F53"/>
    <mergeCell ref="G48:G53"/>
    <mergeCell ref="H48:H53"/>
    <mergeCell ref="J48:J53"/>
    <mergeCell ref="K48:K53"/>
    <mergeCell ref="O48:O53"/>
    <mergeCell ref="A42:A47"/>
    <mergeCell ref="B42:B47"/>
    <mergeCell ref="G42:G47"/>
    <mergeCell ref="H42:H47"/>
    <mergeCell ref="A57:H57"/>
    <mergeCell ref="J57:Q57"/>
    <mergeCell ref="A60:A65"/>
    <mergeCell ref="B60:B65"/>
    <mergeCell ref="A30:A35"/>
    <mergeCell ref="B30:B35"/>
    <mergeCell ref="J30:J35"/>
    <mergeCell ref="K30:K35"/>
    <mergeCell ref="J42:J47"/>
    <mergeCell ref="K42:K47"/>
    <mergeCell ref="A36:A41"/>
    <mergeCell ref="B36:B41"/>
    <mergeCell ref="H36:H41"/>
    <mergeCell ref="J36:J41"/>
    <mergeCell ref="K36:K41"/>
    <mergeCell ref="A1:H1"/>
    <mergeCell ref="J1:Q1"/>
    <mergeCell ref="A3:A8"/>
    <mergeCell ref="B3:B8"/>
    <mergeCell ref="J3:J8"/>
    <mergeCell ref="K3:K8"/>
    <mergeCell ref="A9:A14"/>
    <mergeCell ref="B9:B14"/>
    <mergeCell ref="H9:H14"/>
    <mergeCell ref="J9:J14"/>
    <mergeCell ref="K9:K14"/>
    <mergeCell ref="J60:J65"/>
    <mergeCell ref="K60:K65"/>
    <mergeCell ref="A58:H58"/>
    <mergeCell ref="J58:Q58"/>
    <mergeCell ref="Q9:Q14"/>
    <mergeCell ref="P15:P20"/>
    <mergeCell ref="Q15:Q20"/>
    <mergeCell ref="A21:A26"/>
    <mergeCell ref="B21:B26"/>
    <mergeCell ref="F21:F26"/>
    <mergeCell ref="G21:G26"/>
    <mergeCell ref="H21:H26"/>
    <mergeCell ref="J21:J26"/>
    <mergeCell ref="K21:K26"/>
    <mergeCell ref="O21:O26"/>
    <mergeCell ref="A15:A20"/>
    <mergeCell ref="B15:B20"/>
    <mergeCell ref="G15:G20"/>
    <mergeCell ref="H15:H20"/>
    <mergeCell ref="J15:J20"/>
    <mergeCell ref="K15:K20"/>
    <mergeCell ref="Q36:Q41"/>
    <mergeCell ref="P21:P26"/>
    <mergeCell ref="Q21:Q26"/>
    <mergeCell ref="Q66:Q71"/>
    <mergeCell ref="A72:A77"/>
    <mergeCell ref="B72:B77"/>
    <mergeCell ref="G72:G77"/>
    <mergeCell ref="H72:H77"/>
    <mergeCell ref="J72:J77"/>
    <mergeCell ref="K72:K77"/>
    <mergeCell ref="P72:P77"/>
    <mergeCell ref="Q72:Q77"/>
    <mergeCell ref="A66:A71"/>
    <mergeCell ref="B66:B71"/>
    <mergeCell ref="H66:H71"/>
    <mergeCell ref="J66:J71"/>
    <mergeCell ref="K66:K71"/>
    <mergeCell ref="J78:J83"/>
    <mergeCell ref="K78:K83"/>
    <mergeCell ref="O78:O83"/>
    <mergeCell ref="P78:P83"/>
    <mergeCell ref="Q78:Q83"/>
    <mergeCell ref="A78:A83"/>
    <mergeCell ref="B78:B83"/>
    <mergeCell ref="F78:F83"/>
    <mergeCell ref="G78:G83"/>
    <mergeCell ref="H78:H83"/>
    <mergeCell ref="A89:A94"/>
    <mergeCell ref="B89:B94"/>
    <mergeCell ref="J89:J94"/>
    <mergeCell ref="K89:K94"/>
    <mergeCell ref="A95:A100"/>
    <mergeCell ref="B95:B100"/>
    <mergeCell ref="H95:H100"/>
    <mergeCell ref="J95:J100"/>
    <mergeCell ref="K95:K100"/>
    <mergeCell ref="Q95:Q100"/>
    <mergeCell ref="A101:A106"/>
    <mergeCell ref="B101:B106"/>
    <mergeCell ref="G101:G106"/>
    <mergeCell ref="H101:H106"/>
    <mergeCell ref="J101:J106"/>
    <mergeCell ref="K101:K106"/>
    <mergeCell ref="P101:P106"/>
    <mergeCell ref="Q101:Q106"/>
    <mergeCell ref="J107:J112"/>
    <mergeCell ref="K107:K112"/>
    <mergeCell ref="O107:O112"/>
    <mergeCell ref="P107:P112"/>
    <mergeCell ref="Q107:Q112"/>
    <mergeCell ref="A107:A112"/>
    <mergeCell ref="B107:B112"/>
    <mergeCell ref="F107:F112"/>
    <mergeCell ref="G107:G112"/>
    <mergeCell ref="H107:H112"/>
  </mergeCells>
  <phoneticPr fontId="33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0000"/>
  </sheetPr>
  <dimension ref="A1:V113"/>
  <sheetViews>
    <sheetView topLeftCell="A10" zoomScale="70" zoomScaleNormal="70" workbookViewId="0">
      <selection activeCell="L6" sqref="L6"/>
    </sheetView>
  </sheetViews>
  <sheetFormatPr defaultRowHeight="15"/>
  <cols>
    <col min="1" max="1" width="24.140625" customWidth="1"/>
    <col min="2" max="2" width="9.140625" style="132"/>
    <col min="3" max="3" width="13.42578125" style="132" customWidth="1"/>
    <col min="4" max="4" width="15.140625" style="132" customWidth="1"/>
    <col min="5" max="5" width="9.5703125" style="132" customWidth="1"/>
    <col min="6" max="6" width="9.42578125" style="132" customWidth="1"/>
    <col min="7" max="10" width="9.140625" style="132"/>
    <col min="11" max="11" width="1.5703125" customWidth="1"/>
    <col min="13" max="13" width="25.85546875" customWidth="1"/>
    <col min="14" max="15" width="26.85546875" style="132" customWidth="1"/>
    <col min="16" max="18" width="10.42578125" style="132" customWidth="1"/>
    <col min="19" max="19" width="13.28515625" style="132" customWidth="1"/>
    <col min="20" max="20" width="26.85546875" style="132" customWidth="1"/>
    <col min="21" max="21" width="13.85546875" customWidth="1"/>
    <col min="22" max="22" width="9.7109375" bestFit="1" customWidth="1"/>
  </cols>
  <sheetData>
    <row r="1" spans="1:22" ht="15.75" thickBot="1">
      <c r="A1" s="1" t="s">
        <v>112</v>
      </c>
      <c r="M1" s="1" t="s">
        <v>113</v>
      </c>
    </row>
    <row r="2" spans="1:22" ht="15.75" thickBot="1">
      <c r="A2" s="356" t="s">
        <v>114</v>
      </c>
      <c r="B2" s="357"/>
      <c r="C2" s="357"/>
      <c r="D2" s="357"/>
      <c r="E2" s="357"/>
      <c r="F2" s="357"/>
      <c r="G2" s="357"/>
      <c r="H2" s="357"/>
      <c r="I2" s="357"/>
      <c r="J2" s="358"/>
      <c r="M2" s="2" t="s">
        <v>115</v>
      </c>
    </row>
    <row r="3" spans="1:22" ht="29.45" customHeight="1">
      <c r="A3" s="123" t="s">
        <v>116</v>
      </c>
      <c r="B3" s="359" t="s">
        <v>13</v>
      </c>
      <c r="C3" s="359" t="s">
        <v>14</v>
      </c>
      <c r="D3" s="359" t="s">
        <v>15</v>
      </c>
      <c r="E3" s="359" t="s">
        <v>16</v>
      </c>
      <c r="F3" s="359" t="s">
        <v>117</v>
      </c>
      <c r="G3" s="359" t="s">
        <v>18</v>
      </c>
      <c r="H3" s="359" t="s">
        <v>19</v>
      </c>
      <c r="I3" s="359" t="s">
        <v>20</v>
      </c>
      <c r="J3" s="360" t="s">
        <v>21</v>
      </c>
      <c r="M3" s="119" t="s">
        <v>116</v>
      </c>
      <c r="N3" s="370" t="s">
        <v>118</v>
      </c>
      <c r="O3" s="371" t="s">
        <v>119</v>
      </c>
      <c r="P3" s="424"/>
      <c r="Q3" s="424"/>
      <c r="R3" s="424"/>
      <c r="S3" s="424" t="s">
        <v>120</v>
      </c>
      <c r="T3" s="424" t="str">
        <f>O16</f>
        <v>Median Annual Earnings Year After Exit</v>
      </c>
    </row>
    <row r="4" spans="1:22">
      <c r="A4" s="3" t="s">
        <v>24</v>
      </c>
      <c r="B4" s="94">
        <v>1536.712</v>
      </c>
      <c r="C4" s="94">
        <v>1399.74</v>
      </c>
      <c r="D4" s="94">
        <v>1372.547</v>
      </c>
      <c r="E4" s="94">
        <v>1471.9090000000001</v>
      </c>
      <c r="F4" s="94">
        <v>1718.15</v>
      </c>
      <c r="G4" s="94">
        <v>1997.6890000000001</v>
      </c>
      <c r="H4" s="94">
        <v>2096.723</v>
      </c>
      <c r="I4" s="94">
        <v>2197.5450000000001</v>
      </c>
      <c r="J4" s="361">
        <v>2239.087</v>
      </c>
      <c r="M4" s="3" t="s">
        <v>24</v>
      </c>
      <c r="N4" s="94">
        <v>5780.9089999999997</v>
      </c>
      <c r="O4" s="373">
        <v>8531.0429999999997</v>
      </c>
      <c r="P4" s="433">
        <f>(O4-N4)/N4</f>
        <v>0.47572691422750302</v>
      </c>
      <c r="Q4" s="434">
        <f>O4-N4</f>
        <v>2750.134</v>
      </c>
      <c r="R4" s="528">
        <f>(O4-N4)/N4</f>
        <v>0.47572691422750302</v>
      </c>
      <c r="S4" s="433">
        <f>O4/20160</f>
        <v>0.42316681547619045</v>
      </c>
      <c r="T4" s="142">
        <f>O17</f>
        <v>4339.3509999999997</v>
      </c>
    </row>
    <row r="5" spans="1:22">
      <c r="A5" s="3" t="s">
        <v>121</v>
      </c>
      <c r="B5" s="94">
        <v>786.02200000000005</v>
      </c>
      <c r="C5" s="94">
        <v>809.18780000000004</v>
      </c>
      <c r="D5" s="94">
        <v>803.7527</v>
      </c>
      <c r="E5" s="94">
        <v>831.72280000000001</v>
      </c>
      <c r="F5" s="94">
        <v>966.64890000000003</v>
      </c>
      <c r="G5" s="94">
        <v>1178.163</v>
      </c>
      <c r="H5" s="94">
        <v>1299.2180000000001</v>
      </c>
      <c r="I5" s="94">
        <v>1418.34</v>
      </c>
      <c r="J5" s="361">
        <v>1476.848</v>
      </c>
      <c r="M5" s="3" t="s">
        <v>122</v>
      </c>
      <c r="N5" s="94">
        <v>4607.4189999999999</v>
      </c>
      <c r="O5" s="374">
        <v>6027.5230000000001</v>
      </c>
      <c r="P5" s="433">
        <f t="shared" ref="P5" si="0">(O5-N5)/N5</f>
        <v>0.30822115375224185</v>
      </c>
      <c r="Q5" s="434">
        <f t="shared" ref="Q5" si="1">O5-N5</f>
        <v>1420.1040000000003</v>
      </c>
      <c r="R5" s="528">
        <f t="shared" ref="R5:R8" si="2">(O5-N5)/N5</f>
        <v>0.30822115375224185</v>
      </c>
      <c r="S5" s="433">
        <f t="shared" ref="S5" si="3">O5/20160</f>
        <v>0.29898427579365078</v>
      </c>
      <c r="T5" s="142"/>
    </row>
    <row r="6" spans="1:22">
      <c r="A6" s="3" t="s">
        <v>123</v>
      </c>
      <c r="B6" s="94">
        <v>1383.2670000000001</v>
      </c>
      <c r="C6" s="94">
        <v>1285.8150000000001</v>
      </c>
      <c r="D6" s="94">
        <v>1111.8389999999999</v>
      </c>
      <c r="E6" s="94">
        <v>826.49779999999998</v>
      </c>
      <c r="F6" s="94">
        <v>889.55190000000005</v>
      </c>
      <c r="G6" s="94">
        <v>1288.807</v>
      </c>
      <c r="H6" s="94">
        <v>1489.164</v>
      </c>
      <c r="I6" s="94">
        <v>1585.0440000000001</v>
      </c>
      <c r="J6" s="361">
        <v>1664.508</v>
      </c>
      <c r="M6" s="3" t="s">
        <v>121</v>
      </c>
      <c r="N6" s="94">
        <v>3230.6849999999999</v>
      </c>
      <c r="O6" s="361">
        <v>5372.5680000000002</v>
      </c>
      <c r="P6" s="433">
        <f t="shared" ref="P6:P8" si="4">(O6-N6)/N6</f>
        <v>0.66298107057791156</v>
      </c>
      <c r="Q6" s="434">
        <f t="shared" ref="Q6:Q8" si="5">O6-N6</f>
        <v>2141.8830000000003</v>
      </c>
      <c r="R6" s="528">
        <f t="shared" si="2"/>
        <v>0.66298107057791156</v>
      </c>
      <c r="S6" s="433">
        <f t="shared" ref="S6:S8" si="6">O6/20160</f>
        <v>0.26649642857142858</v>
      </c>
      <c r="T6" s="142">
        <f t="shared" ref="T6:T9" si="7">O18</f>
        <v>1748.134</v>
      </c>
      <c r="U6" s="165">
        <f>N6-$N$4</f>
        <v>-2550.2239999999997</v>
      </c>
      <c r="V6" s="165">
        <f>O6-$O$4</f>
        <v>-3158.4749999999995</v>
      </c>
    </row>
    <row r="7" spans="1:22" ht="14.85" customHeight="1">
      <c r="A7" s="3" t="s">
        <v>124</v>
      </c>
      <c r="B7" s="94">
        <v>2282.7689999999998</v>
      </c>
      <c r="C7" s="94">
        <v>2014.269</v>
      </c>
      <c r="D7" s="94">
        <v>2281.8809999999999</v>
      </c>
      <c r="E7" s="94">
        <v>3109.6239999999998</v>
      </c>
      <c r="F7" s="94">
        <v>3268.7849999999999</v>
      </c>
      <c r="G7" s="94">
        <v>3430.951</v>
      </c>
      <c r="H7" s="94">
        <v>3444.7280000000001</v>
      </c>
      <c r="I7" s="94">
        <v>3585.0320000000002</v>
      </c>
      <c r="J7" s="361">
        <v>3548.3679999999999</v>
      </c>
      <c r="M7" s="3" t="s">
        <v>124</v>
      </c>
      <c r="N7" s="94">
        <v>9688.5419999999995</v>
      </c>
      <c r="O7" s="361">
        <v>14009.08</v>
      </c>
      <c r="P7" s="433">
        <f t="shared" si="4"/>
        <v>0.44594305314463217</v>
      </c>
      <c r="Q7" s="434">
        <f t="shared" si="5"/>
        <v>4320.5380000000005</v>
      </c>
      <c r="R7" s="528">
        <f t="shared" si="2"/>
        <v>0.44594305314463217</v>
      </c>
      <c r="S7" s="433">
        <f t="shared" si="6"/>
        <v>0.69489484126984125</v>
      </c>
      <c r="T7" s="142">
        <f t="shared" si="7"/>
        <v>2160.9699999999998</v>
      </c>
      <c r="U7" s="165" t="e">
        <f>#REF!-$N$4</f>
        <v>#REF!</v>
      </c>
      <c r="V7" s="165" t="e">
        <f>#REF!-$O$4</f>
        <v>#REF!</v>
      </c>
    </row>
    <row r="8" spans="1:22" ht="15.75" thickBot="1">
      <c r="A8" s="367" t="s">
        <v>125</v>
      </c>
      <c r="B8" s="368">
        <v>1424.366</v>
      </c>
      <c r="C8" s="368">
        <v>1293.394</v>
      </c>
      <c r="D8" s="368">
        <v>1208.6849999999999</v>
      </c>
      <c r="E8" s="368">
        <v>1206.5139999999999</v>
      </c>
      <c r="F8" s="368">
        <v>1635.548</v>
      </c>
      <c r="G8" s="368">
        <v>1911.789</v>
      </c>
      <c r="H8" s="368">
        <v>1984.145</v>
      </c>
      <c r="I8" s="368">
        <v>2064.6709999999998</v>
      </c>
      <c r="J8" s="369">
        <v>2117.2809999999999</v>
      </c>
      <c r="M8" s="367" t="s">
        <v>125</v>
      </c>
      <c r="N8" s="368">
        <v>7496.5140000000001</v>
      </c>
      <c r="O8" s="369">
        <v>10434.129999999999</v>
      </c>
      <c r="P8" s="433">
        <f t="shared" si="4"/>
        <v>0.39186427184688766</v>
      </c>
      <c r="Q8" s="434">
        <f t="shared" si="5"/>
        <v>2937.6159999999991</v>
      </c>
      <c r="R8" s="528">
        <f t="shared" si="2"/>
        <v>0.39186427184688766</v>
      </c>
      <c r="S8" s="433">
        <f t="shared" si="6"/>
        <v>0.51756597222222223</v>
      </c>
      <c r="T8" s="142">
        <f t="shared" si="7"/>
        <v>2549.86</v>
      </c>
      <c r="U8" s="165">
        <f>N7-$N$4</f>
        <v>3907.6329999999998</v>
      </c>
      <c r="V8" s="165">
        <f>O7-$O$4</f>
        <v>5478.0370000000003</v>
      </c>
    </row>
    <row r="9" spans="1:22" ht="15.75" thickTop="1">
      <c r="A9" s="3" t="s">
        <v>126</v>
      </c>
      <c r="B9" s="94">
        <v>1426.2439999999999</v>
      </c>
      <c r="C9" s="94">
        <v>1320.606</v>
      </c>
      <c r="D9" s="94">
        <v>1189.454</v>
      </c>
      <c r="E9" s="94">
        <v>953.37450000000001</v>
      </c>
      <c r="F9" s="94">
        <v>1168.7370000000001</v>
      </c>
      <c r="G9" s="94">
        <v>1554.165</v>
      </c>
      <c r="H9" s="94">
        <v>1698.37</v>
      </c>
      <c r="I9" s="94">
        <v>1806.529</v>
      </c>
      <c r="J9" s="361">
        <v>1870.2280000000001</v>
      </c>
      <c r="M9" s="3" t="s">
        <v>126</v>
      </c>
      <c r="N9" s="94">
        <v>4889.6779999999999</v>
      </c>
      <c r="O9" s="361">
        <v>6929.2920000000004</v>
      </c>
      <c r="P9" s="94"/>
      <c r="Q9" s="94"/>
      <c r="R9" s="94"/>
      <c r="S9" s="432"/>
      <c r="T9" s="142">
        <f t="shared" si="7"/>
        <v>6635.7749999999996</v>
      </c>
      <c r="U9" s="165">
        <f>N8-$N$4</f>
        <v>1715.6050000000005</v>
      </c>
      <c r="V9" s="165">
        <f>O8-$O$4</f>
        <v>1903.0869999999995</v>
      </c>
    </row>
    <row r="10" spans="1:22" ht="15.75" thickBot="1">
      <c r="A10" s="4" t="s">
        <v>37</v>
      </c>
      <c r="B10" s="365">
        <v>2017.183</v>
      </c>
      <c r="C10" s="365">
        <v>1743.93</v>
      </c>
      <c r="D10" s="365">
        <v>2168.8960000000002</v>
      </c>
      <c r="E10" s="365">
        <v>3727.2339999999999</v>
      </c>
      <c r="F10" s="365">
        <v>4107.7759999999998</v>
      </c>
      <c r="G10" s="365">
        <v>3926.759</v>
      </c>
      <c r="H10" s="365">
        <v>3829.3270000000002</v>
      </c>
      <c r="I10" s="365">
        <v>3898.2339999999999</v>
      </c>
      <c r="J10" s="366">
        <v>3843.41</v>
      </c>
      <c r="M10" s="4" t="s">
        <v>37</v>
      </c>
      <c r="N10" s="365">
        <v>9657.2430000000004</v>
      </c>
      <c r="O10" s="366">
        <v>15497.73</v>
      </c>
      <c r="P10" s="94"/>
      <c r="Q10" s="94"/>
      <c r="R10" s="94"/>
      <c r="S10" s="94"/>
      <c r="T10" s="94"/>
    </row>
    <row r="11" spans="1:22">
      <c r="T11" s="94"/>
    </row>
    <row r="12" spans="1:22">
      <c r="A12" s="3" t="s">
        <v>127</v>
      </c>
      <c r="B12" s="96">
        <v>1544.6130000000001</v>
      </c>
      <c r="C12" s="96">
        <v>1399.81</v>
      </c>
      <c r="D12" s="96">
        <v>1326.1420000000001</v>
      </c>
      <c r="E12" s="96">
        <v>1372.7840000000001</v>
      </c>
      <c r="F12" s="96">
        <v>1965.598</v>
      </c>
      <c r="G12" s="96">
        <v>2295.9</v>
      </c>
      <c r="H12" s="96">
        <v>2354.5100000000002</v>
      </c>
      <c r="I12" s="96">
        <v>2435.319</v>
      </c>
      <c r="J12" s="96">
        <v>2497.319</v>
      </c>
      <c r="M12" s="3" t="s">
        <v>127</v>
      </c>
      <c r="N12" s="96">
        <v>5643.3490000000002</v>
      </c>
      <c r="O12" s="96">
        <v>9583.0470000000005</v>
      </c>
      <c r="P12" s="96"/>
      <c r="Q12" s="96"/>
      <c r="R12" s="96"/>
      <c r="S12" s="96"/>
    </row>
    <row r="13" spans="1:22">
      <c r="A13" s="83"/>
      <c r="B13" s="96"/>
      <c r="C13" s="96"/>
      <c r="D13" s="96"/>
      <c r="E13" s="96"/>
      <c r="F13" s="96"/>
      <c r="G13" s="96"/>
      <c r="H13" s="96"/>
      <c r="I13" s="96"/>
      <c r="J13" s="96"/>
      <c r="T13" s="96"/>
    </row>
    <row r="14" spans="1:22">
      <c r="A14" s="1" t="s">
        <v>112</v>
      </c>
      <c r="M14" s="1" t="s">
        <v>113</v>
      </c>
    </row>
    <row r="15" spans="1:22" ht="15.75" thickBot="1">
      <c r="A15" s="6" t="s">
        <v>128</v>
      </c>
      <c r="M15" s="2" t="s">
        <v>129</v>
      </c>
    </row>
    <row r="16" spans="1:22" ht="45">
      <c r="A16" s="119" t="s">
        <v>116</v>
      </c>
      <c r="B16" s="362" t="s">
        <v>13</v>
      </c>
      <c r="C16" s="362" t="s">
        <v>14</v>
      </c>
      <c r="D16" s="362" t="s">
        <v>15</v>
      </c>
      <c r="E16" s="362" t="s">
        <v>16</v>
      </c>
      <c r="F16" s="362" t="s">
        <v>117</v>
      </c>
      <c r="G16" s="362" t="s">
        <v>18</v>
      </c>
      <c r="H16" s="362" t="s">
        <v>19</v>
      </c>
      <c r="I16" s="362" t="s">
        <v>20</v>
      </c>
      <c r="J16" s="363" t="s">
        <v>21</v>
      </c>
      <c r="M16" s="119" t="s">
        <v>116</v>
      </c>
      <c r="N16" s="370" t="s">
        <v>130</v>
      </c>
      <c r="O16" s="371" t="s">
        <v>131</v>
      </c>
      <c r="P16" s="424"/>
      <c r="Q16" s="424"/>
      <c r="R16" s="424"/>
      <c r="S16" s="424"/>
    </row>
    <row r="17" spans="1:22" ht="29.45" customHeight="1">
      <c r="A17" s="3" t="s">
        <v>24</v>
      </c>
      <c r="B17" s="134">
        <v>0</v>
      </c>
      <c r="C17" s="134">
        <v>0</v>
      </c>
      <c r="D17" s="134">
        <v>0</v>
      </c>
      <c r="E17" s="134">
        <v>98.18056</v>
      </c>
      <c r="F17" s="135">
        <v>364.93079999999998</v>
      </c>
      <c r="G17" s="134">
        <v>417.1585</v>
      </c>
      <c r="H17" s="134">
        <v>481.33190000000002</v>
      </c>
      <c r="I17" s="134">
        <v>523.1105</v>
      </c>
      <c r="J17" s="364">
        <v>506.47809999999998</v>
      </c>
      <c r="M17" s="3" t="s">
        <v>24</v>
      </c>
      <c r="N17" s="95">
        <v>2665.8829999999998</v>
      </c>
      <c r="O17" s="372">
        <v>4339.3509999999997</v>
      </c>
      <c r="P17" s="142"/>
      <c r="Q17" s="142"/>
      <c r="R17" s="142"/>
      <c r="S17" s="142"/>
      <c r="T17" s="424"/>
    </row>
    <row r="18" spans="1:22">
      <c r="A18" s="3" t="s">
        <v>121</v>
      </c>
      <c r="B18" s="198">
        <v>0</v>
      </c>
      <c r="C18" s="198"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202">
        <v>0</v>
      </c>
      <c r="M18" s="3" t="s">
        <v>121</v>
      </c>
      <c r="N18" s="198">
        <v>529.92280000000005</v>
      </c>
      <c r="O18" s="202">
        <v>1748.134</v>
      </c>
      <c r="P18" s="198"/>
      <c r="Q18" s="198"/>
      <c r="R18" s="198"/>
      <c r="S18" s="198"/>
      <c r="T18" s="142"/>
    </row>
    <row r="19" spans="1:22">
      <c r="A19" s="3" t="s">
        <v>123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361">
        <v>0</v>
      </c>
      <c r="M19" s="3" t="s">
        <v>123</v>
      </c>
      <c r="N19" s="94">
        <v>1354.62</v>
      </c>
      <c r="O19" s="361">
        <v>2160.9699999999998</v>
      </c>
      <c r="P19" s="94"/>
      <c r="Q19" s="94"/>
      <c r="R19" s="94"/>
      <c r="S19" s="94"/>
      <c r="T19" s="198"/>
      <c r="U19" s="132">
        <f>N18-$N$17</f>
        <v>-2135.9601999999995</v>
      </c>
      <c r="V19" s="132">
        <f>O18-$O$17</f>
        <v>-2591.2169999999996</v>
      </c>
    </row>
    <row r="20" spans="1:22">
      <c r="A20" s="3" t="s">
        <v>124</v>
      </c>
      <c r="B20" s="94">
        <v>704.33879999999999</v>
      </c>
      <c r="C20" s="94">
        <v>628.28089999999997</v>
      </c>
      <c r="D20" s="94">
        <v>1657.808</v>
      </c>
      <c r="E20" s="94">
        <v>2888.43</v>
      </c>
      <c r="F20" s="94">
        <v>3027.797</v>
      </c>
      <c r="G20" s="94">
        <v>3233.93</v>
      </c>
      <c r="H20" s="94">
        <v>3142.799</v>
      </c>
      <c r="I20" s="94">
        <v>3244.2649999999999</v>
      </c>
      <c r="J20" s="361">
        <v>3170.721</v>
      </c>
      <c r="M20" s="3" t="s">
        <v>124</v>
      </c>
      <c r="N20" s="94">
        <v>2639.74</v>
      </c>
      <c r="O20" s="361">
        <v>2549.86</v>
      </c>
      <c r="P20" s="94"/>
      <c r="Q20" s="94"/>
      <c r="R20" s="94"/>
      <c r="S20" s="94"/>
      <c r="T20" s="94"/>
      <c r="U20" s="132">
        <f t="shared" ref="U20:U22" si="8">N19-$N$17</f>
        <v>-1311.2629999999999</v>
      </c>
      <c r="V20" s="132">
        <f t="shared" ref="V20:V22" si="9">O19-$O$17</f>
        <v>-2178.3809999999999</v>
      </c>
    </row>
    <row r="21" spans="1:22" ht="15.75" thickBot="1">
      <c r="A21" s="367" t="s">
        <v>125</v>
      </c>
      <c r="B21" s="368">
        <v>0</v>
      </c>
      <c r="C21" s="368">
        <v>0</v>
      </c>
      <c r="D21" s="368">
        <v>0</v>
      </c>
      <c r="E21" s="368">
        <v>31.962039999999998</v>
      </c>
      <c r="F21" s="368">
        <v>367.20010000000002</v>
      </c>
      <c r="G21" s="368">
        <v>256.8424</v>
      </c>
      <c r="H21" s="368">
        <v>224.6036</v>
      </c>
      <c r="I21" s="368">
        <v>286.66480000000001</v>
      </c>
      <c r="J21" s="369">
        <v>220.31270000000001</v>
      </c>
      <c r="M21" s="367" t="s">
        <v>125</v>
      </c>
      <c r="N21" s="368">
        <v>4883.1959999999999</v>
      </c>
      <c r="O21" s="369">
        <v>6635.7749999999996</v>
      </c>
      <c r="P21" s="94"/>
      <c r="Q21" s="94"/>
      <c r="R21" s="94"/>
      <c r="S21" s="94"/>
      <c r="T21" s="94"/>
      <c r="U21" s="132">
        <f t="shared" si="8"/>
        <v>-26.143000000000029</v>
      </c>
      <c r="V21" s="132">
        <f t="shared" si="9"/>
        <v>-1789.4909999999995</v>
      </c>
    </row>
    <row r="22" spans="1:22" ht="15.75" thickTop="1">
      <c r="A22" s="3" t="s">
        <v>126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56.464149999999997</v>
      </c>
      <c r="J22" s="361">
        <v>53.376989999999999</v>
      </c>
      <c r="M22" s="3" t="s">
        <v>126</v>
      </c>
      <c r="N22" s="94">
        <v>1487.5219999999999</v>
      </c>
      <c r="O22" s="361">
        <v>2656.6329999999998</v>
      </c>
      <c r="P22" s="94"/>
      <c r="Q22" s="94"/>
      <c r="R22" s="94"/>
      <c r="S22" s="94"/>
      <c r="T22" s="94"/>
      <c r="U22" s="132">
        <f t="shared" si="8"/>
        <v>2217.3130000000001</v>
      </c>
      <c r="V22" s="132">
        <f t="shared" si="9"/>
        <v>2296.424</v>
      </c>
    </row>
    <row r="23" spans="1:22" ht="15.75" thickBot="1">
      <c r="A23" s="4" t="s">
        <v>37</v>
      </c>
      <c r="B23" s="365">
        <v>546.72699999999998</v>
      </c>
      <c r="C23" s="365">
        <v>486.16449999999998</v>
      </c>
      <c r="D23" s="365">
        <v>1693.7260000000001</v>
      </c>
      <c r="E23" s="365">
        <v>3553.6260000000002</v>
      </c>
      <c r="F23" s="365">
        <v>3934.4409999999998</v>
      </c>
      <c r="G23" s="365">
        <v>3752.739</v>
      </c>
      <c r="H23" s="365">
        <v>3614.1030000000001</v>
      </c>
      <c r="I23" s="365">
        <v>3658.6260000000002</v>
      </c>
      <c r="J23" s="366">
        <v>3645.607</v>
      </c>
      <c r="M23" s="4" t="s">
        <v>37</v>
      </c>
      <c r="N23" s="365">
        <v>8273.8459999999995</v>
      </c>
      <c r="O23" s="366">
        <v>14221.72</v>
      </c>
      <c r="P23" s="94"/>
      <c r="Q23" s="94"/>
      <c r="R23" s="94"/>
      <c r="S23" s="94"/>
      <c r="T23" s="94"/>
    </row>
    <row r="24" spans="1:22">
      <c r="B24" s="96"/>
      <c r="C24" s="96"/>
      <c r="D24" s="96"/>
      <c r="E24" s="96"/>
      <c r="F24" s="96"/>
      <c r="G24" s="96"/>
      <c r="H24" s="96"/>
      <c r="I24" s="96"/>
      <c r="J24" s="96"/>
      <c r="N24" s="96"/>
      <c r="O24" s="96"/>
      <c r="P24" s="96"/>
      <c r="Q24" s="96"/>
      <c r="R24" s="96"/>
      <c r="S24" s="96"/>
      <c r="T24" s="94"/>
    </row>
    <row r="25" spans="1:22">
      <c r="A25" t="s">
        <v>127</v>
      </c>
      <c r="B25" s="96">
        <v>0</v>
      </c>
      <c r="C25" s="96">
        <v>0</v>
      </c>
      <c r="D25" s="96">
        <v>0</v>
      </c>
      <c r="E25" s="96">
        <v>273.59289999999999</v>
      </c>
      <c r="F25" s="96">
        <v>1059.384</v>
      </c>
      <c r="G25" s="96">
        <v>1180.7950000000001</v>
      </c>
      <c r="H25" s="96">
        <v>1107.8720000000001</v>
      </c>
      <c r="I25" s="96">
        <v>1156.9929999999999</v>
      </c>
      <c r="J25" s="96">
        <v>1147.6289999999999</v>
      </c>
      <c r="M25" t="s">
        <v>127</v>
      </c>
      <c r="N25" s="96">
        <v>2787.4760000000001</v>
      </c>
      <c r="O25" s="96">
        <v>6198.009</v>
      </c>
      <c r="P25" s="96"/>
      <c r="Q25" s="96"/>
      <c r="R25" s="96"/>
      <c r="S25" s="96"/>
      <c r="T25" s="96"/>
    </row>
    <row r="26" spans="1:22">
      <c r="T26" s="96"/>
    </row>
    <row r="29" spans="1:22">
      <c r="B29" s="132" t="s">
        <v>132</v>
      </c>
      <c r="C29" s="132" t="s">
        <v>133</v>
      </c>
      <c r="J29"/>
      <c r="M29" s="132"/>
    </row>
    <row r="30" spans="1:22">
      <c r="A30" s="3" t="s">
        <v>24</v>
      </c>
      <c r="B30" s="473">
        <v>0.21640000000000001</v>
      </c>
      <c r="C30" s="473">
        <v>0.34749999999999998</v>
      </c>
      <c r="D30" s="183">
        <f>(C30-B30)/B30</f>
        <v>0.60582255083179282</v>
      </c>
      <c r="I30"/>
      <c r="J30"/>
      <c r="L30" s="132"/>
      <c r="M30" s="132"/>
      <c r="S30"/>
      <c r="T30"/>
    </row>
    <row r="31" spans="1:22">
      <c r="A31" s="3" t="s">
        <v>122</v>
      </c>
      <c r="B31" s="473">
        <v>0.16400000000000001</v>
      </c>
      <c r="C31" s="473">
        <v>0.23880000000000001</v>
      </c>
      <c r="D31" s="183">
        <f t="shared" ref="D31" si="10">(C31-B31)/B31</f>
        <v>0.45609756097560977</v>
      </c>
      <c r="I31"/>
      <c r="J31"/>
      <c r="L31" s="132"/>
      <c r="M31" s="132"/>
      <c r="S31"/>
      <c r="T31"/>
    </row>
    <row r="32" spans="1:22">
      <c r="A32" s="3" t="s">
        <v>134</v>
      </c>
      <c r="B32" s="473">
        <v>8.4099999999999994E-2</v>
      </c>
      <c r="C32" s="473">
        <v>0.19320000000000001</v>
      </c>
      <c r="D32" s="183">
        <f t="shared" ref="D32:D34" si="11">(C32-B32)/B32</f>
        <v>1.2972651605231871</v>
      </c>
      <c r="I32"/>
      <c r="J32"/>
      <c r="L32" s="132"/>
      <c r="M32" s="132"/>
      <c r="S32"/>
      <c r="T32"/>
    </row>
    <row r="33" spans="1:20">
      <c r="A33" s="3" t="s">
        <v>124</v>
      </c>
      <c r="B33" s="473">
        <v>0.40679999999999999</v>
      </c>
      <c r="C33" s="473">
        <v>0.58020000000000005</v>
      </c>
      <c r="D33" s="183">
        <f t="shared" si="11"/>
        <v>0.42625368731563434</v>
      </c>
      <c r="I33"/>
      <c r="J33"/>
      <c r="L33" s="132"/>
      <c r="M33" s="132"/>
      <c r="S33"/>
      <c r="T33"/>
    </row>
    <row r="34" spans="1:20" ht="15.75" thickBot="1">
      <c r="A34" s="367" t="s">
        <v>125</v>
      </c>
      <c r="B34" s="473">
        <v>0.18340000000000001</v>
      </c>
      <c r="C34" s="473">
        <v>0.33400000000000002</v>
      </c>
      <c r="D34" s="183">
        <f t="shared" si="11"/>
        <v>0.82115594329334796</v>
      </c>
      <c r="T34"/>
    </row>
    <row r="35" spans="1:20" ht="15.75" thickTop="1"/>
    <row r="47" spans="1:20" ht="15.75" thickBot="1">
      <c r="E47" s="198"/>
      <c r="F47" s="198"/>
      <c r="G47" s="198"/>
    </row>
    <row r="48" spans="1:20">
      <c r="C48" s="119" t="s">
        <v>116</v>
      </c>
      <c r="D48" s="198" t="s">
        <v>135</v>
      </c>
      <c r="E48" s="198" t="s">
        <v>136</v>
      </c>
      <c r="F48" s="198"/>
      <c r="G48" s="198"/>
    </row>
    <row r="49" spans="2:7">
      <c r="C49" s="3" t="s">
        <v>24</v>
      </c>
      <c r="D49" s="464">
        <v>8531.0429999999997</v>
      </c>
      <c r="E49" s="464">
        <v>12098.5</v>
      </c>
      <c r="F49" s="384">
        <f>D49/20160</f>
        <v>0.42316681547619045</v>
      </c>
      <c r="G49" s="384">
        <f>E49/20160</f>
        <v>0.60012400793650789</v>
      </c>
    </row>
    <row r="50" spans="2:7">
      <c r="B50" s="410"/>
      <c r="C50" s="3" t="s">
        <v>134</v>
      </c>
      <c r="D50" s="434">
        <v>5372.5680000000002</v>
      </c>
      <c r="E50" s="434">
        <v>8238.2060000000001</v>
      </c>
      <c r="F50" s="384">
        <f>D50/20160</f>
        <v>0.26649642857142858</v>
      </c>
      <c r="G50" s="384">
        <f t="shared" ref="G50:G53" si="12">E50/20160</f>
        <v>0.40864117063492061</v>
      </c>
    </row>
    <row r="51" spans="2:7">
      <c r="B51" s="410"/>
      <c r="C51" s="3" t="s">
        <v>122</v>
      </c>
      <c r="D51" s="434">
        <v>6027.5230000000001</v>
      </c>
      <c r="E51" s="434">
        <v>8840.9480000000003</v>
      </c>
      <c r="F51" s="384">
        <f>D51/20160</f>
        <v>0.29898427579365078</v>
      </c>
      <c r="G51" s="384">
        <f t="shared" si="12"/>
        <v>0.4385390873015873</v>
      </c>
    </row>
    <row r="52" spans="2:7">
      <c r="B52" s="410"/>
      <c r="C52" s="3" t="s">
        <v>124</v>
      </c>
      <c r="D52" s="434">
        <v>14009.08</v>
      </c>
      <c r="E52" s="434">
        <v>16926.900000000001</v>
      </c>
      <c r="F52" s="384">
        <f>D52/20160</f>
        <v>0.69489484126984125</v>
      </c>
      <c r="G52" s="384">
        <f t="shared" si="12"/>
        <v>0.83962797619047624</v>
      </c>
    </row>
    <row r="53" spans="2:7" ht="15.75" thickBot="1">
      <c r="B53" s="410"/>
      <c r="C53" s="367" t="s">
        <v>125</v>
      </c>
      <c r="D53" s="434">
        <v>10434.129999999999</v>
      </c>
      <c r="E53" s="434">
        <v>14772.78</v>
      </c>
      <c r="F53" s="384">
        <f>D53/20160</f>
        <v>0.51756597222222223</v>
      </c>
      <c r="G53" s="384">
        <f t="shared" si="12"/>
        <v>0.73277678571428573</v>
      </c>
    </row>
    <row r="54" spans="2:7" ht="16.5" thickTop="1" thickBot="1">
      <c r="B54" s="410"/>
      <c r="C54" s="367"/>
      <c r="D54" s="388"/>
      <c r="E54" s="388"/>
      <c r="F54" s="198"/>
      <c r="G54" s="198"/>
    </row>
    <row r="55" spans="2:7" ht="15.75" thickTop="1">
      <c r="D55" s="198"/>
      <c r="E55" s="198"/>
      <c r="F55" s="198"/>
      <c r="G55" s="198"/>
    </row>
    <row r="56" spans="2:7">
      <c r="C56" s="198"/>
      <c r="D56" s="198"/>
      <c r="E56" s="198"/>
      <c r="F56" s="198"/>
      <c r="G56" s="198"/>
    </row>
    <row r="57" spans="2:7">
      <c r="C57" s="195" t="s">
        <v>116</v>
      </c>
      <c r="D57" s="222" t="s">
        <v>137</v>
      </c>
      <c r="E57" s="222" t="s">
        <v>138</v>
      </c>
      <c r="F57" s="198"/>
      <c r="G57" s="198"/>
    </row>
    <row r="58" spans="2:7">
      <c r="C58" s="195" t="s">
        <v>24</v>
      </c>
      <c r="D58" s="434">
        <v>8124</v>
      </c>
      <c r="E58" s="434">
        <v>12098.5</v>
      </c>
      <c r="F58" s="458">
        <f>(E58-D58)/D58</f>
        <v>0.48922944362383064</v>
      </c>
      <c r="G58" s="198">
        <f>E58-D58</f>
        <v>3974.5</v>
      </c>
    </row>
    <row r="59" spans="2:7">
      <c r="C59" s="195" t="s">
        <v>122</v>
      </c>
      <c r="D59" s="434">
        <v>6886</v>
      </c>
      <c r="E59" s="434">
        <v>8840.9480000000003</v>
      </c>
      <c r="F59" s="458">
        <f>(E59-D59)/D59</f>
        <v>0.28390182979959344</v>
      </c>
      <c r="G59" s="198">
        <f>E59-D59</f>
        <v>1954.9480000000003</v>
      </c>
    </row>
    <row r="60" spans="2:7">
      <c r="C60" s="195" t="s">
        <v>134</v>
      </c>
      <c r="D60" s="434">
        <v>5554</v>
      </c>
      <c r="E60" s="434">
        <v>8238.2060000000001</v>
      </c>
      <c r="F60" s="458">
        <f>(E60-D60)/D60</f>
        <v>0.48329240187252431</v>
      </c>
      <c r="G60" s="198">
        <f>E60-D60</f>
        <v>2684.2060000000001</v>
      </c>
    </row>
    <row r="61" spans="2:7">
      <c r="C61" s="195" t="s">
        <v>124</v>
      </c>
      <c r="D61" s="434">
        <v>11349</v>
      </c>
      <c r="E61" s="434">
        <v>16926.900000000001</v>
      </c>
      <c r="F61" s="458">
        <f>(E61-D61)/D61</f>
        <v>0.49148823684906173</v>
      </c>
      <c r="G61" s="198">
        <f>E61-D61</f>
        <v>5577.9000000000015</v>
      </c>
    </row>
    <row r="62" spans="2:7">
      <c r="C62" s="195" t="s">
        <v>125</v>
      </c>
      <c r="D62" s="434">
        <v>7376</v>
      </c>
      <c r="E62" s="434">
        <v>12046</v>
      </c>
      <c r="F62" s="458">
        <f>(E62-D62)/D62</f>
        <v>0.63313449023861168</v>
      </c>
      <c r="G62" s="198">
        <f>E62-D62</f>
        <v>4670</v>
      </c>
    </row>
    <row r="63" spans="2:7">
      <c r="C63" s="198"/>
      <c r="D63" s="198"/>
      <c r="E63" s="198"/>
      <c r="F63" s="198"/>
      <c r="G63" s="198"/>
    </row>
    <row r="64" spans="2:7">
      <c r="C64" s="198"/>
      <c r="D64" s="198"/>
      <c r="E64" s="198"/>
      <c r="F64" s="198"/>
      <c r="G64" s="198"/>
    </row>
    <row r="65" spans="3:5">
      <c r="C65" s="195" t="s">
        <v>116</v>
      </c>
      <c r="D65" s="466" t="s">
        <v>139</v>
      </c>
      <c r="E65" s="466" t="s">
        <v>140</v>
      </c>
    </row>
    <row r="66" spans="3:5">
      <c r="C66" s="195" t="s">
        <v>24</v>
      </c>
      <c r="D66" s="183">
        <f>P4</f>
        <v>0.47572691422750302</v>
      </c>
      <c r="E66" s="183">
        <f>F58</f>
        <v>0.48922944362383064</v>
      </c>
    </row>
    <row r="67" spans="3:5">
      <c r="C67" s="195" t="s">
        <v>122</v>
      </c>
      <c r="D67" s="183">
        <f>P5</f>
        <v>0.30822115375224185</v>
      </c>
      <c r="E67" s="183">
        <f>F60</f>
        <v>0.48329240187252431</v>
      </c>
    </row>
    <row r="68" spans="3:5">
      <c r="C68" s="195" t="s">
        <v>134</v>
      </c>
      <c r="D68" s="183">
        <f>P6</f>
        <v>0.66298107057791156</v>
      </c>
      <c r="E68" s="183">
        <f>F61</f>
        <v>0.49148823684906173</v>
      </c>
    </row>
    <row r="69" spans="3:5">
      <c r="C69" s="195" t="s">
        <v>124</v>
      </c>
      <c r="D69" s="183">
        <f>P7</f>
        <v>0.44594305314463217</v>
      </c>
      <c r="E69" s="183" t="e">
        <f>#REF!</f>
        <v>#REF!</v>
      </c>
    </row>
    <row r="70" spans="3:5">
      <c r="C70" s="195" t="s">
        <v>125</v>
      </c>
      <c r="D70" s="183">
        <f>P8</f>
        <v>0.39186427184688766</v>
      </c>
      <c r="E70" s="183">
        <f t="shared" ref="E70" si="13">F62</f>
        <v>0.63313449023861168</v>
      </c>
    </row>
    <row r="71" spans="3:5">
      <c r="D71" s="183"/>
    </row>
    <row r="72" spans="3:5">
      <c r="C72" s="132" t="str">
        <f>C65</f>
        <v>Group</v>
      </c>
      <c r="D72" s="466" t="s">
        <v>141</v>
      </c>
      <c r="E72" s="466" t="s">
        <v>142</v>
      </c>
    </row>
    <row r="73" spans="3:5">
      <c r="C73" s="132" t="str">
        <f t="shared" ref="C73:C77" si="14">C66</f>
        <v>All</v>
      </c>
      <c r="D73" s="132">
        <f>Q4</f>
        <v>2750.134</v>
      </c>
      <c r="E73" s="132">
        <f>G58</f>
        <v>3974.5</v>
      </c>
    </row>
    <row r="74" spans="3:5">
      <c r="C74" s="132" t="s">
        <v>134</v>
      </c>
      <c r="D74" s="132">
        <f>Q6</f>
        <v>2141.8830000000003</v>
      </c>
      <c r="E74" s="132">
        <f>G60</f>
        <v>2684.2060000000001</v>
      </c>
    </row>
    <row r="75" spans="3:5">
      <c r="C75" s="132" t="s">
        <v>143</v>
      </c>
      <c r="D75" s="132" t="e">
        <f>#REF!</f>
        <v>#REF!</v>
      </c>
      <c r="E75" s="132" t="e">
        <f>#REF!</f>
        <v>#REF!</v>
      </c>
    </row>
    <row r="76" spans="3:5">
      <c r="C76" s="132" t="str">
        <f t="shared" si="14"/>
        <v>Excess Income</v>
      </c>
      <c r="D76" s="132">
        <f>Q7</f>
        <v>4320.5380000000005</v>
      </c>
      <c r="E76" s="132">
        <f t="shared" ref="E76:E77" si="15">G61</f>
        <v>5577.9000000000015</v>
      </c>
    </row>
    <row r="77" spans="3:5">
      <c r="C77" s="132" t="str">
        <f t="shared" si="14"/>
        <v>Other Reasons</v>
      </c>
      <c r="D77" s="132">
        <f>Q8</f>
        <v>2937.6159999999991</v>
      </c>
      <c r="E77" s="132">
        <f t="shared" si="15"/>
        <v>4670</v>
      </c>
    </row>
    <row r="93" spans="1:10" ht="15.75" thickBot="1"/>
    <row r="94" spans="1:10" ht="15.6" customHeight="1">
      <c r="A94" s="544" t="s">
        <v>144</v>
      </c>
      <c r="B94" s="545"/>
      <c r="C94" s="546"/>
      <c r="F94" s="487"/>
      <c r="G94" s="488" t="s">
        <v>145</v>
      </c>
      <c r="H94" s="488" t="s">
        <v>146</v>
      </c>
      <c r="I94" s="489" t="s">
        <v>147</v>
      </c>
      <c r="J94" s="489" t="s">
        <v>148</v>
      </c>
    </row>
    <row r="95" spans="1:10" ht="15" customHeight="1" thickBot="1">
      <c r="A95" s="547" t="s">
        <v>149</v>
      </c>
      <c r="B95" s="548"/>
      <c r="C95" s="549"/>
      <c r="F95" s="488" t="s">
        <v>150</v>
      </c>
      <c r="G95" s="487"/>
      <c r="H95" s="487"/>
      <c r="I95" s="487"/>
      <c r="J95" s="490"/>
    </row>
    <row r="96" spans="1:10" ht="30">
      <c r="A96" s="648"/>
      <c r="B96" s="188" t="s">
        <v>135</v>
      </c>
      <c r="C96" s="188" t="s">
        <v>136</v>
      </c>
      <c r="F96" s="488" t="s">
        <v>151</v>
      </c>
      <c r="G96" s="491">
        <v>8123.5940000000001</v>
      </c>
      <c r="H96" s="492">
        <v>12098.5</v>
      </c>
      <c r="I96" s="493">
        <f t="shared" ref="I96:I97" si="16">H96-G96</f>
        <v>3974.9059999999999</v>
      </c>
      <c r="J96" s="494">
        <f t="shared" ref="J96:J97" si="17">I96/G96</f>
        <v>0.48930387215313814</v>
      </c>
    </row>
    <row r="97" spans="1:10" ht="30.75" thickBot="1">
      <c r="A97" s="649"/>
      <c r="B97" s="459" t="s">
        <v>152</v>
      </c>
      <c r="C97" s="459" t="s">
        <v>152</v>
      </c>
      <c r="F97" s="488" t="s">
        <v>153</v>
      </c>
      <c r="G97" s="492">
        <v>5685.4049999999997</v>
      </c>
      <c r="H97" s="492">
        <v>9602.4419999999991</v>
      </c>
      <c r="I97" s="493">
        <f t="shared" si="16"/>
        <v>3917.0369999999994</v>
      </c>
      <c r="J97" s="494">
        <f t="shared" si="17"/>
        <v>0.68896358306927996</v>
      </c>
    </row>
    <row r="98" spans="1:10" ht="30.75" thickBot="1">
      <c r="A98" s="460" t="s">
        <v>24</v>
      </c>
      <c r="B98" s="461" t="s">
        <v>154</v>
      </c>
      <c r="C98" s="461" t="s">
        <v>155</v>
      </c>
      <c r="F98" s="487"/>
      <c r="G98" s="493"/>
      <c r="H98" s="493"/>
      <c r="I98" s="493"/>
      <c r="J98" s="495"/>
    </row>
    <row r="99" spans="1:10" ht="30.75" thickBot="1">
      <c r="A99" s="460" t="s">
        <v>134</v>
      </c>
      <c r="B99" s="461" t="s">
        <v>156</v>
      </c>
      <c r="C99" s="461" t="s">
        <v>157</v>
      </c>
      <c r="F99" s="488" t="s">
        <v>122</v>
      </c>
      <c r="G99" s="493"/>
      <c r="H99" s="493"/>
      <c r="I99" s="493"/>
      <c r="J99" s="495"/>
    </row>
    <row r="100" spans="1:10" ht="30.75" thickBot="1">
      <c r="A100" s="460" t="s">
        <v>122</v>
      </c>
      <c r="B100" s="461" t="s">
        <v>158</v>
      </c>
      <c r="C100" s="461" t="s">
        <v>159</v>
      </c>
      <c r="F100" s="488" t="s">
        <v>151</v>
      </c>
      <c r="G100" s="491">
        <v>6885.6880000000001</v>
      </c>
      <c r="H100" s="491">
        <v>8840.9480000000003</v>
      </c>
      <c r="I100" s="493">
        <f t="shared" ref="I100:I101" si="18">H100-G100</f>
        <v>1955.2600000000002</v>
      </c>
      <c r="J100" s="494">
        <f t="shared" ref="J100:J101" si="19">I100/G100</f>
        <v>0.28396000515852593</v>
      </c>
    </row>
    <row r="101" spans="1:10" ht="30.75" thickBot="1">
      <c r="A101" s="460" t="s">
        <v>124</v>
      </c>
      <c r="B101" s="461" t="s">
        <v>160</v>
      </c>
      <c r="C101" s="461" t="s">
        <v>161</v>
      </c>
      <c r="F101" s="488" t="s">
        <v>153</v>
      </c>
      <c r="G101" s="491">
        <v>4193.9070000000002</v>
      </c>
      <c r="H101" s="491">
        <v>6199.491</v>
      </c>
      <c r="I101" s="493">
        <f t="shared" si="18"/>
        <v>2005.5839999999998</v>
      </c>
      <c r="J101" s="494">
        <f t="shared" si="19"/>
        <v>0.47821375152095641</v>
      </c>
    </row>
    <row r="102" spans="1:10" ht="30.75" thickBot="1">
      <c r="A102" s="460" t="s">
        <v>125</v>
      </c>
      <c r="B102" s="461" t="s">
        <v>162</v>
      </c>
      <c r="C102" s="461" t="s">
        <v>163</v>
      </c>
      <c r="F102" s="487"/>
      <c r="G102" s="493"/>
      <c r="H102" s="493"/>
      <c r="I102" s="493"/>
      <c r="J102" s="495"/>
    </row>
    <row r="103" spans="1:10">
      <c r="F103" s="488" t="s">
        <v>134</v>
      </c>
      <c r="G103" s="496"/>
      <c r="H103" s="493"/>
      <c r="I103" s="493"/>
      <c r="J103" s="495"/>
    </row>
    <row r="104" spans="1:10">
      <c r="F104" s="488" t="s">
        <v>151</v>
      </c>
      <c r="G104" s="493">
        <v>5553.8440000000001</v>
      </c>
      <c r="H104" s="493">
        <v>8238.2060000000001</v>
      </c>
      <c r="I104" s="493">
        <f t="shared" ref="I104:I105" si="20">H104-G104</f>
        <v>2684.3620000000001</v>
      </c>
      <c r="J104" s="494">
        <f t="shared" ref="J104:J105" si="21">I104/G104</f>
        <v>0.48333406555891739</v>
      </c>
    </row>
    <row r="105" spans="1:10">
      <c r="F105" s="488" t="s">
        <v>153</v>
      </c>
      <c r="G105" s="493">
        <v>3785.99</v>
      </c>
      <c r="H105" s="493">
        <v>5939.848</v>
      </c>
      <c r="I105" s="493">
        <f t="shared" si="20"/>
        <v>2153.8580000000002</v>
      </c>
      <c r="J105" s="494">
        <f t="shared" si="21"/>
        <v>0.56890218938771642</v>
      </c>
    </row>
    <row r="106" spans="1:10">
      <c r="F106" s="487"/>
      <c r="G106" s="493"/>
      <c r="H106" s="493"/>
      <c r="I106" s="493"/>
      <c r="J106" s="495"/>
    </row>
    <row r="107" spans="1:10">
      <c r="F107" s="488" t="s">
        <v>164</v>
      </c>
      <c r="G107" s="493"/>
      <c r="H107" s="493"/>
      <c r="I107" s="493"/>
      <c r="J107" s="495"/>
    </row>
    <row r="108" spans="1:10">
      <c r="F108" s="488" t="s">
        <v>165</v>
      </c>
      <c r="G108" s="493">
        <v>11349.03</v>
      </c>
      <c r="H108" s="493">
        <v>16926.900000000001</v>
      </c>
      <c r="I108" s="493">
        <f t="shared" ref="I108:I109" si="22">H108-G108</f>
        <v>5577.8700000000008</v>
      </c>
      <c r="J108" s="494">
        <f t="shared" ref="J108:J109" si="23">I108/G108</f>
        <v>0.49148429425246037</v>
      </c>
    </row>
    <row r="109" spans="1:10">
      <c r="F109" s="488" t="s">
        <v>153</v>
      </c>
      <c r="G109" s="493">
        <v>9582.2739999999994</v>
      </c>
      <c r="H109" s="493">
        <v>15463.02</v>
      </c>
      <c r="I109" s="493">
        <f t="shared" si="22"/>
        <v>5880.746000000001</v>
      </c>
      <c r="J109" s="494">
        <f t="shared" si="23"/>
        <v>0.61371089993878292</v>
      </c>
    </row>
    <row r="110" spans="1:10">
      <c r="F110" s="487"/>
      <c r="G110" s="493"/>
      <c r="H110" s="493"/>
      <c r="I110" s="493"/>
      <c r="J110" s="495"/>
    </row>
    <row r="111" spans="1:10">
      <c r="F111" s="488" t="s">
        <v>166</v>
      </c>
      <c r="G111" s="493"/>
      <c r="H111" s="493"/>
      <c r="I111" s="493"/>
      <c r="J111" s="495"/>
    </row>
    <row r="112" spans="1:10">
      <c r="F112" s="488" t="s">
        <v>151</v>
      </c>
      <c r="G112" s="493">
        <v>7376.4210000000003</v>
      </c>
      <c r="H112" s="493">
        <v>12046.04</v>
      </c>
      <c r="I112" s="493">
        <f t="shared" ref="I112:I113" si="24">H112-G112</f>
        <v>4669.6190000000006</v>
      </c>
      <c r="J112" s="494">
        <f t="shared" ref="J112:J113" si="25">I112/G112</f>
        <v>0.63304670381476336</v>
      </c>
    </row>
    <row r="113" spans="6:10">
      <c r="F113" s="488" t="s">
        <v>153</v>
      </c>
      <c r="G113" s="493">
        <v>4863.201</v>
      </c>
      <c r="H113" s="493">
        <v>9664.3389999999999</v>
      </c>
      <c r="I113" s="493">
        <f t="shared" si="24"/>
        <v>4801.1379999999999</v>
      </c>
      <c r="J113" s="494">
        <f t="shared" si="25"/>
        <v>0.98723824082122036</v>
      </c>
    </row>
  </sheetData>
  <mergeCells count="1">
    <mergeCell ref="A96:A97"/>
  </mergeCells>
  <phoneticPr fontId="33" type="noConversion"/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AN181"/>
  <sheetViews>
    <sheetView topLeftCell="A37" zoomScale="60" zoomScaleNormal="60" workbookViewId="0">
      <selection activeCell="S60" sqref="S60"/>
    </sheetView>
  </sheetViews>
  <sheetFormatPr defaultRowHeight="15"/>
  <cols>
    <col min="1" max="1" width="13.5703125" customWidth="1"/>
    <col min="2" max="2" width="9" customWidth="1"/>
    <col min="3" max="3" width="24.140625" customWidth="1"/>
    <col min="4" max="5" width="13.85546875" customWidth="1"/>
    <col min="6" max="6" width="14" customWidth="1"/>
    <col min="7" max="7" width="13.85546875" customWidth="1"/>
    <col min="8" max="9" width="12.85546875" customWidth="1"/>
    <col min="10" max="10" width="15.140625" customWidth="1"/>
    <col min="13" max="13" width="12.28515625" bestFit="1" customWidth="1"/>
    <col min="14" max="14" width="10.7109375" customWidth="1"/>
    <col min="15" max="15" width="14.85546875" customWidth="1"/>
    <col min="17" max="17" width="26" customWidth="1"/>
    <col min="18" max="18" width="14.5703125" customWidth="1"/>
    <col min="19" max="19" width="16.42578125" customWidth="1"/>
    <col min="20" max="20" width="17.140625" customWidth="1"/>
    <col min="21" max="21" width="15.85546875" customWidth="1"/>
    <col min="22" max="22" width="13.42578125" customWidth="1"/>
    <col min="23" max="28" width="16.140625" customWidth="1"/>
    <col min="29" max="31" width="26.28515625" customWidth="1"/>
    <col min="32" max="32" width="21.7109375" customWidth="1"/>
    <col min="33" max="33" width="19.140625" customWidth="1"/>
  </cols>
  <sheetData>
    <row r="1" spans="1:33" ht="35.1" customHeight="1">
      <c r="A1" s="642" t="s">
        <v>39</v>
      </c>
      <c r="B1" s="643"/>
      <c r="C1" s="643"/>
      <c r="D1" s="643"/>
      <c r="E1" s="643"/>
      <c r="F1" s="643"/>
      <c r="G1" s="643"/>
      <c r="H1" s="644"/>
      <c r="I1" s="337"/>
      <c r="J1" s="337"/>
      <c r="O1" s="645" t="s">
        <v>40</v>
      </c>
      <c r="P1" s="646"/>
      <c r="Q1" s="646"/>
      <c r="R1" s="646"/>
      <c r="S1" s="646"/>
      <c r="T1" s="646"/>
      <c r="U1" s="646"/>
      <c r="V1" s="647"/>
    </row>
    <row r="2" spans="1:33" ht="33.6" customHeight="1">
      <c r="A2" s="143" t="s">
        <v>41</v>
      </c>
      <c r="B2" s="144" t="s">
        <v>42</v>
      </c>
      <c r="C2" s="145" t="s">
        <v>43</v>
      </c>
      <c r="D2" s="144" t="s">
        <v>44</v>
      </c>
      <c r="E2" s="124" t="s">
        <v>45</v>
      </c>
      <c r="F2" s="124" t="s">
        <v>46</v>
      </c>
      <c r="G2" s="124" t="s">
        <v>47</v>
      </c>
      <c r="H2" s="146" t="s">
        <v>48</v>
      </c>
      <c r="I2" s="124"/>
      <c r="J2" s="124"/>
      <c r="O2" s="143" t="s">
        <v>41</v>
      </c>
      <c r="P2" s="144" t="s">
        <v>42</v>
      </c>
      <c r="Q2" s="145" t="s">
        <v>43</v>
      </c>
      <c r="R2" s="144" t="s">
        <v>44</v>
      </c>
      <c r="S2" s="124" t="s">
        <v>45</v>
      </c>
      <c r="T2" s="124" t="s">
        <v>46</v>
      </c>
      <c r="U2" s="124" t="s">
        <v>47</v>
      </c>
      <c r="V2" s="146" t="s">
        <v>48</v>
      </c>
      <c r="AF2" s="144"/>
      <c r="AG2" s="531"/>
    </row>
    <row r="3" spans="1:33" ht="15" customHeight="1">
      <c r="A3" s="631" t="s">
        <v>49</v>
      </c>
      <c r="B3" s="637">
        <v>1074</v>
      </c>
      <c r="C3" s="147" t="s">
        <v>50</v>
      </c>
      <c r="D3" s="531">
        <v>3923851</v>
      </c>
      <c r="E3" s="531">
        <v>5489697</v>
      </c>
      <c r="F3" s="531">
        <v>6961749</v>
      </c>
      <c r="G3" s="531">
        <v>8032003</v>
      </c>
      <c r="H3" s="534">
        <v>8949383</v>
      </c>
      <c r="I3" s="532"/>
      <c r="J3" s="532"/>
      <c r="O3" s="631" t="s">
        <v>49</v>
      </c>
      <c r="P3" s="637">
        <v>5177</v>
      </c>
      <c r="Q3" s="147" t="s">
        <v>50</v>
      </c>
      <c r="R3" s="531">
        <v>26170356.462000001</v>
      </c>
      <c r="S3" s="531">
        <v>39918316.369999997</v>
      </c>
      <c r="T3" s="531">
        <v>44934126.839999996</v>
      </c>
      <c r="U3" s="531">
        <v>49197887.75</v>
      </c>
      <c r="V3" s="534">
        <v>52116033.270000003</v>
      </c>
      <c r="W3" s="7"/>
      <c r="X3" s="7"/>
      <c r="Y3" s="7"/>
      <c r="Z3" s="7"/>
      <c r="AA3" s="7"/>
      <c r="AB3" s="7" t="s">
        <v>167</v>
      </c>
      <c r="AC3" s="7" t="s">
        <v>168</v>
      </c>
      <c r="AD3" s="7" t="s">
        <v>28</v>
      </c>
      <c r="AE3" s="7" t="str">
        <f>AC3</f>
        <v>Share of Federal Poverty Level</v>
      </c>
      <c r="AF3" s="124"/>
      <c r="AG3" s="531"/>
    </row>
    <row r="4" spans="1:33" ht="13.35" customHeight="1">
      <c r="A4" s="616"/>
      <c r="B4" s="618"/>
      <c r="C4" s="148" t="s">
        <v>51</v>
      </c>
      <c r="D4" s="376">
        <v>3653.4920000000002</v>
      </c>
      <c r="E4" s="376">
        <v>5111.45</v>
      </c>
      <c r="F4" s="376">
        <v>6482.0749999999998</v>
      </c>
      <c r="G4" s="376">
        <v>7478.5879999999997</v>
      </c>
      <c r="H4" s="536">
        <v>8332.759</v>
      </c>
      <c r="I4" s="376"/>
      <c r="J4" s="376"/>
      <c r="O4" s="616"/>
      <c r="P4" s="618"/>
      <c r="Q4" s="148" t="s">
        <v>51</v>
      </c>
      <c r="R4" s="532">
        <v>5055.12</v>
      </c>
      <c r="S4" s="532">
        <v>7710.7030000000004</v>
      </c>
      <c r="T4" s="532">
        <v>8679.5660000000007</v>
      </c>
      <c r="U4" s="532">
        <v>9503.1659999999993</v>
      </c>
      <c r="V4" s="535">
        <v>10066.84</v>
      </c>
      <c r="W4" t="s">
        <v>135</v>
      </c>
      <c r="AB4" s="165">
        <f>S49</f>
        <v>8316.73</v>
      </c>
      <c r="AC4" s="183">
        <f>AB4/20090</f>
        <v>0.41397361871577898</v>
      </c>
      <c r="AD4" s="165">
        <f>S51</f>
        <v>4232.93</v>
      </c>
      <c r="AE4" s="183">
        <f>AD4/20090</f>
        <v>0.2106983573917372</v>
      </c>
      <c r="AF4" s="124"/>
      <c r="AG4" s="531"/>
    </row>
    <row r="5" spans="1:33" ht="13.35" customHeight="1">
      <c r="A5" s="616"/>
      <c r="B5" s="618"/>
      <c r="C5" s="148" t="s">
        <v>52</v>
      </c>
      <c r="D5" s="532">
        <v>5736.6239999999998</v>
      </c>
      <c r="E5" s="532">
        <v>7990.826</v>
      </c>
      <c r="F5" s="532">
        <v>10133.549999999999</v>
      </c>
      <c r="G5" s="532">
        <v>11657.48</v>
      </c>
      <c r="H5" s="535">
        <v>13219.18</v>
      </c>
      <c r="I5" s="532"/>
      <c r="J5" s="467">
        <f>H5*6090</f>
        <v>80504806.200000003</v>
      </c>
      <c r="O5" s="616"/>
      <c r="P5" s="618"/>
      <c r="Q5" s="148" t="s">
        <v>52</v>
      </c>
      <c r="R5" s="532">
        <v>7223.3940000000002</v>
      </c>
      <c r="S5" s="532">
        <v>11178.47</v>
      </c>
      <c r="T5" s="532">
        <v>13035.72</v>
      </c>
      <c r="U5" s="532">
        <v>14664.05</v>
      </c>
      <c r="V5" s="535">
        <v>16030.77</v>
      </c>
      <c r="W5" t="s">
        <v>169</v>
      </c>
      <c r="AB5" s="165">
        <f>S50</f>
        <v>11794.57</v>
      </c>
      <c r="AC5" s="183">
        <f>AB5/20090</f>
        <v>0.58708661025385767</v>
      </c>
      <c r="AD5" s="165">
        <f>S52</f>
        <v>9338.64</v>
      </c>
      <c r="AE5" s="183">
        <f>AD5/20090</f>
        <v>0.46484021901443501</v>
      </c>
      <c r="AF5" s="124"/>
      <c r="AG5" s="531"/>
    </row>
    <row r="6" spans="1:33" ht="13.35" customHeight="1">
      <c r="A6" s="616"/>
      <c r="B6" s="618"/>
      <c r="C6" s="148" t="s">
        <v>53</v>
      </c>
      <c r="D6" s="376">
        <v>780.64499999999998</v>
      </c>
      <c r="E6" s="376">
        <v>1538.915</v>
      </c>
      <c r="F6" s="376">
        <v>2086.25</v>
      </c>
      <c r="G6" s="376">
        <v>2369.1550000000002</v>
      </c>
      <c r="H6" s="536">
        <v>2147.7399999999998</v>
      </c>
      <c r="I6" s="376"/>
      <c r="J6" s="376"/>
      <c r="O6" s="616"/>
      <c r="P6" s="618"/>
      <c r="Q6" s="148" t="s">
        <v>53</v>
      </c>
      <c r="R6" s="532">
        <v>2105.2600000000002</v>
      </c>
      <c r="S6" s="532">
        <v>3605.54</v>
      </c>
      <c r="T6" s="532">
        <v>3716.8</v>
      </c>
      <c r="U6" s="532">
        <v>3903.71</v>
      </c>
      <c r="V6" s="535">
        <v>3595.16</v>
      </c>
      <c r="AB6" s="7" t="s">
        <v>170</v>
      </c>
      <c r="AC6" s="7" t="s">
        <v>168</v>
      </c>
      <c r="AD6" s="7" t="s">
        <v>171</v>
      </c>
      <c r="AE6" s="7" t="str">
        <f>AC6</f>
        <v>Share of Federal Poverty Level</v>
      </c>
      <c r="AF6" s="146"/>
      <c r="AG6" s="534"/>
    </row>
    <row r="7" spans="1:33" ht="13.35" customHeight="1">
      <c r="A7" s="616"/>
      <c r="B7" s="618"/>
      <c r="C7" s="148" t="s">
        <v>54</v>
      </c>
      <c r="D7" s="532">
        <v>3103.44</v>
      </c>
      <c r="E7" s="532">
        <v>5639.34</v>
      </c>
      <c r="F7" s="532">
        <v>7237.98</v>
      </c>
      <c r="G7" s="532">
        <v>8734.25</v>
      </c>
      <c r="H7" s="535">
        <v>10145.280000000001</v>
      </c>
      <c r="I7" s="532"/>
      <c r="J7" s="532"/>
      <c r="O7" s="616"/>
      <c r="P7" s="618"/>
      <c r="Q7" s="148" t="s">
        <v>54</v>
      </c>
      <c r="R7" s="532">
        <v>4831.53</v>
      </c>
      <c r="S7" s="532">
        <v>8698.82</v>
      </c>
      <c r="T7" s="532">
        <v>10464.66</v>
      </c>
      <c r="U7" s="532">
        <v>11790</v>
      </c>
      <c r="V7" s="535">
        <v>13064.39</v>
      </c>
      <c r="W7" t="s">
        <v>135</v>
      </c>
      <c r="AB7" s="165">
        <v>0</v>
      </c>
      <c r="AC7" s="183">
        <v>0</v>
      </c>
      <c r="AD7" s="165">
        <v>23246</v>
      </c>
      <c r="AE7" s="183">
        <f>AD7/20090</f>
        <v>1.157093081134893</v>
      </c>
    </row>
    <row r="8" spans="1:33" ht="18.75" customHeight="1">
      <c r="A8" s="632"/>
      <c r="B8" s="638"/>
      <c r="C8" s="149" t="s">
        <v>55</v>
      </c>
      <c r="D8" s="150" t="s">
        <v>56</v>
      </c>
      <c r="E8" s="150" t="s">
        <v>57</v>
      </c>
      <c r="F8" s="150" t="s">
        <v>57</v>
      </c>
      <c r="G8" s="150" t="s">
        <v>58</v>
      </c>
      <c r="H8" s="151" t="s">
        <v>59</v>
      </c>
      <c r="I8" s="322"/>
      <c r="J8" s="322"/>
      <c r="O8" s="632"/>
      <c r="P8" s="638"/>
      <c r="Q8" s="149" t="s">
        <v>55</v>
      </c>
      <c r="R8" s="150" t="s">
        <v>60</v>
      </c>
      <c r="S8" s="150" t="s">
        <v>61</v>
      </c>
      <c r="T8" s="150" t="s">
        <v>62</v>
      </c>
      <c r="U8" s="150" t="s">
        <v>63</v>
      </c>
      <c r="V8" s="151" t="s">
        <v>64</v>
      </c>
      <c r="W8" t="s">
        <v>169</v>
      </c>
      <c r="AB8" s="165">
        <v>1380</v>
      </c>
      <c r="AC8" s="183">
        <f>AB8/20090</f>
        <v>6.8690890990542555E-2</v>
      </c>
      <c r="AD8" s="165">
        <v>26606</v>
      </c>
      <c r="AE8" s="183">
        <f>AD8/20090</f>
        <v>1.3243404678944748</v>
      </c>
    </row>
    <row r="9" spans="1:33" ht="15" customHeight="1">
      <c r="A9" s="616" t="s">
        <v>65</v>
      </c>
      <c r="B9" s="618">
        <v>1440</v>
      </c>
      <c r="C9" s="148" t="s">
        <v>50</v>
      </c>
      <c r="D9" s="532">
        <v>5475527</v>
      </c>
      <c r="E9" s="532">
        <v>7264892</v>
      </c>
      <c r="F9" s="532">
        <v>9048319</v>
      </c>
      <c r="G9" s="532">
        <v>10500000</v>
      </c>
      <c r="H9" s="628" t="s">
        <v>66</v>
      </c>
      <c r="I9" s="376"/>
      <c r="J9" s="376"/>
      <c r="O9" s="616" t="s">
        <v>65</v>
      </c>
      <c r="P9" s="618">
        <v>6814</v>
      </c>
      <c r="Q9" s="147" t="s">
        <v>50</v>
      </c>
      <c r="R9" s="531">
        <v>34460041.410000004</v>
      </c>
      <c r="S9" s="531">
        <v>52814966.299999997</v>
      </c>
      <c r="T9" s="531">
        <v>60390959.460000001</v>
      </c>
      <c r="U9" s="531">
        <v>65924921.649999999</v>
      </c>
      <c r="V9" s="628" t="s">
        <v>66</v>
      </c>
    </row>
    <row r="10" spans="1:33" ht="14.25" customHeight="1">
      <c r="A10" s="616"/>
      <c r="B10" s="618"/>
      <c r="C10" s="148" t="s">
        <v>51</v>
      </c>
      <c r="D10" s="532">
        <v>3802.45</v>
      </c>
      <c r="E10" s="532">
        <v>5045.0640000000003</v>
      </c>
      <c r="F10" s="532">
        <v>6283.5550000000003</v>
      </c>
      <c r="G10" s="532">
        <v>7319.4269999999997</v>
      </c>
      <c r="H10" s="629"/>
      <c r="I10" s="376"/>
      <c r="J10" s="376"/>
      <c r="O10" s="616"/>
      <c r="P10" s="618"/>
      <c r="Q10" s="148" t="s">
        <v>51</v>
      </c>
      <c r="R10" s="532">
        <v>5057.241</v>
      </c>
      <c r="S10" s="532">
        <v>7750.951</v>
      </c>
      <c r="T10" s="532">
        <v>8862.7790000000005</v>
      </c>
      <c r="U10" s="532">
        <v>9674.9240000000009</v>
      </c>
      <c r="V10" s="629"/>
    </row>
    <row r="11" spans="1:33" ht="14.25" customHeight="1">
      <c r="A11" s="616"/>
      <c r="B11" s="618"/>
      <c r="C11" s="148" t="s">
        <v>52</v>
      </c>
      <c r="D11" s="532">
        <v>5932.3159999999998</v>
      </c>
      <c r="E11" s="532">
        <v>7862.4380000000001</v>
      </c>
      <c r="F11" s="532">
        <v>9771.4030000000002</v>
      </c>
      <c r="G11" s="532">
        <v>11481.455</v>
      </c>
      <c r="H11" s="629"/>
      <c r="I11" s="376"/>
      <c r="J11" s="376"/>
      <c r="O11" s="616"/>
      <c r="P11" s="618"/>
      <c r="Q11" s="148" t="s">
        <v>52</v>
      </c>
      <c r="R11" s="376">
        <v>7335.0450000000001</v>
      </c>
      <c r="S11" s="532">
        <v>11389.9</v>
      </c>
      <c r="T11" s="532">
        <v>13507.26</v>
      </c>
      <c r="U11" s="532">
        <v>14965.93</v>
      </c>
      <c r="V11" s="629"/>
      <c r="AD11" s="132">
        <f>AD7-20090</f>
        <v>3156</v>
      </c>
    </row>
    <row r="12" spans="1:33" ht="14.25" customHeight="1">
      <c r="A12" s="616"/>
      <c r="B12" s="618"/>
      <c r="C12" s="148" t="s">
        <v>53</v>
      </c>
      <c r="D12" s="532">
        <v>947.97500000000002</v>
      </c>
      <c r="E12" s="532">
        <v>1247.2149999999999</v>
      </c>
      <c r="F12" s="532">
        <v>1615.385</v>
      </c>
      <c r="G12" s="532">
        <v>1898.575</v>
      </c>
      <c r="H12" s="629"/>
      <c r="I12" s="376"/>
      <c r="J12" s="376"/>
      <c r="O12" s="616"/>
      <c r="P12" s="618"/>
      <c r="Q12" s="148" t="s">
        <v>53</v>
      </c>
      <c r="R12" s="532">
        <v>2178.4549999999999</v>
      </c>
      <c r="S12" s="532">
        <v>3557.22</v>
      </c>
      <c r="T12" s="532">
        <v>3867.01</v>
      </c>
      <c r="U12" s="532">
        <v>4005.83</v>
      </c>
      <c r="V12" s="629"/>
      <c r="AD12" s="132">
        <f>AD8-20090</f>
        <v>6516</v>
      </c>
    </row>
    <row r="13" spans="1:33" ht="14.25" customHeight="1">
      <c r="A13" s="616"/>
      <c r="B13" s="618"/>
      <c r="C13" s="148" t="s">
        <v>54</v>
      </c>
      <c r="D13" s="532">
        <v>3648.58</v>
      </c>
      <c r="E13" s="532">
        <v>5599.5550000000003</v>
      </c>
      <c r="F13" s="532">
        <v>6817.04</v>
      </c>
      <c r="G13" s="532">
        <v>8165.8549999999996</v>
      </c>
      <c r="H13" s="629"/>
      <c r="I13" s="376"/>
      <c r="J13" s="376"/>
      <c r="O13" s="616"/>
      <c r="P13" s="618"/>
      <c r="Q13" s="148" t="s">
        <v>54</v>
      </c>
      <c r="R13" s="376">
        <v>5158.2</v>
      </c>
      <c r="S13" s="532">
        <v>9234</v>
      </c>
      <c r="T13" s="532">
        <v>11288.78</v>
      </c>
      <c r="U13" s="532">
        <v>12396.12</v>
      </c>
      <c r="V13" s="629"/>
    </row>
    <row r="14" spans="1:33" ht="18" customHeight="1">
      <c r="A14" s="632"/>
      <c r="B14" s="638"/>
      <c r="C14" s="149" t="s">
        <v>55</v>
      </c>
      <c r="D14" s="152" t="s">
        <v>67</v>
      </c>
      <c r="E14" s="152" t="s">
        <v>68</v>
      </c>
      <c r="F14" s="152" t="s">
        <v>69</v>
      </c>
      <c r="G14" s="152" t="s">
        <v>70</v>
      </c>
      <c r="H14" s="630"/>
      <c r="I14" s="376"/>
      <c r="J14" s="376"/>
      <c r="O14" s="632"/>
      <c r="P14" s="638"/>
      <c r="Q14" s="149" t="s">
        <v>55</v>
      </c>
      <c r="R14" s="153" t="s">
        <v>71</v>
      </c>
      <c r="S14" s="153" t="s">
        <v>72</v>
      </c>
      <c r="T14" s="153" t="s">
        <v>73</v>
      </c>
      <c r="U14" s="153" t="s">
        <v>74</v>
      </c>
      <c r="V14" s="630"/>
      <c r="AB14" s="418">
        <f>AB4/12</f>
        <v>693.06083333333333</v>
      </c>
    </row>
    <row r="15" spans="1:33" ht="15" customHeight="1">
      <c r="A15" s="631" t="s">
        <v>75</v>
      </c>
      <c r="B15" s="637">
        <v>1881</v>
      </c>
      <c r="C15" s="147" t="s">
        <v>50</v>
      </c>
      <c r="D15" s="531">
        <v>8551486</v>
      </c>
      <c r="E15" s="531">
        <v>11567079.699999999</v>
      </c>
      <c r="F15" s="531">
        <v>14357109</v>
      </c>
      <c r="G15" s="620" t="s">
        <v>66</v>
      </c>
      <c r="H15" s="623" t="s">
        <v>66</v>
      </c>
      <c r="I15" s="532"/>
      <c r="J15" s="532"/>
      <c r="O15" s="631" t="s">
        <v>75</v>
      </c>
      <c r="P15" s="637">
        <v>5365</v>
      </c>
      <c r="Q15" s="148" t="s">
        <v>50</v>
      </c>
      <c r="R15" s="532">
        <v>30956886.384999998</v>
      </c>
      <c r="S15" s="532">
        <v>46482134.090000004</v>
      </c>
      <c r="T15" s="532">
        <v>52113734.399999999</v>
      </c>
      <c r="U15" s="621" t="s">
        <v>66</v>
      </c>
      <c r="V15" s="623" t="s">
        <v>66</v>
      </c>
    </row>
    <row r="16" spans="1:33" ht="14.25" customHeight="1">
      <c r="A16" s="616"/>
      <c r="B16" s="618"/>
      <c r="C16" s="148" t="s">
        <v>51</v>
      </c>
      <c r="D16" s="532">
        <v>4546.2449999999999</v>
      </c>
      <c r="E16" s="532">
        <v>6149.4309999999996</v>
      </c>
      <c r="F16" s="532">
        <v>7632.7</v>
      </c>
      <c r="G16" s="621"/>
      <c r="H16" s="624"/>
      <c r="I16" s="532"/>
      <c r="J16" s="532"/>
      <c r="O16" s="616"/>
      <c r="P16" s="618"/>
      <c r="Q16" s="148" t="s">
        <v>51</v>
      </c>
      <c r="R16" s="532">
        <v>5770.1559999999999</v>
      </c>
      <c r="S16" s="532">
        <v>8663.9599999999991</v>
      </c>
      <c r="T16" s="532">
        <v>9713.6470000000008</v>
      </c>
      <c r="U16" s="621"/>
      <c r="V16" s="624"/>
      <c r="AC16" s="418">
        <f>AB4/2</f>
        <v>4158.3649999999998</v>
      </c>
      <c r="AD16" s="418"/>
      <c r="AE16" s="418"/>
    </row>
    <row r="17" spans="1:33" ht="14.25" customHeight="1">
      <c r="A17" s="616"/>
      <c r="B17" s="618"/>
      <c r="C17" s="148" t="s">
        <v>52</v>
      </c>
      <c r="D17" s="532">
        <v>6781.5119999999997</v>
      </c>
      <c r="E17" s="532">
        <v>8856.875</v>
      </c>
      <c r="F17" s="532">
        <v>11340.53</v>
      </c>
      <c r="G17" s="621"/>
      <c r="H17" s="624"/>
      <c r="I17" s="532"/>
      <c r="J17" s="532"/>
      <c r="O17" s="616"/>
      <c r="P17" s="618"/>
      <c r="Q17" s="148" t="s">
        <v>52</v>
      </c>
      <c r="R17" s="532">
        <v>8123.0349999999999</v>
      </c>
      <c r="S17" s="532">
        <v>12051.37</v>
      </c>
      <c r="T17" s="532">
        <v>14316.96</v>
      </c>
      <c r="U17" s="621"/>
      <c r="V17" s="624"/>
      <c r="AC17" s="473">
        <f>AD4/AB4</f>
        <v>0.50896566318733449</v>
      </c>
      <c r="AD17" s="473">
        <f>AD5/AB5</f>
        <v>0.79177451996978265</v>
      </c>
      <c r="AE17" s="473"/>
    </row>
    <row r="18" spans="1:33" ht="14.25" customHeight="1">
      <c r="A18" s="616"/>
      <c r="B18" s="618"/>
      <c r="C18" s="148" t="s">
        <v>53</v>
      </c>
      <c r="D18" s="532">
        <v>1423.27</v>
      </c>
      <c r="E18" s="532">
        <v>2255.92</v>
      </c>
      <c r="F18" s="532">
        <v>3000.71</v>
      </c>
      <c r="G18" s="621"/>
      <c r="H18" s="624"/>
      <c r="I18" s="532"/>
      <c r="J18" s="532"/>
      <c r="O18" s="616"/>
      <c r="P18" s="618"/>
      <c r="Q18" s="148" t="s">
        <v>53</v>
      </c>
      <c r="R18" s="532">
        <v>2678.65</v>
      </c>
      <c r="S18" s="532">
        <v>4613.46</v>
      </c>
      <c r="T18" s="532">
        <v>4789.82</v>
      </c>
      <c r="U18" s="621"/>
      <c r="V18" s="624"/>
    </row>
    <row r="19" spans="1:33" ht="14.25" customHeight="1">
      <c r="A19" s="616"/>
      <c r="B19" s="618"/>
      <c r="C19" s="148" t="s">
        <v>54</v>
      </c>
      <c r="D19" s="532">
        <v>4321</v>
      </c>
      <c r="E19" s="532">
        <v>5932.3149999999996</v>
      </c>
      <c r="F19" s="532">
        <v>8415.4850000000006</v>
      </c>
      <c r="G19" s="621"/>
      <c r="H19" s="624"/>
      <c r="I19" s="532"/>
      <c r="J19" s="532"/>
      <c r="O19" s="616"/>
      <c r="P19" s="618"/>
      <c r="Q19" s="148" t="s">
        <v>54</v>
      </c>
      <c r="R19" s="532">
        <v>5649.59</v>
      </c>
      <c r="S19" s="532">
        <v>9508</v>
      </c>
      <c r="T19" s="532">
        <v>11741.53</v>
      </c>
      <c r="U19" s="621"/>
      <c r="V19" s="624"/>
    </row>
    <row r="20" spans="1:33" ht="18" customHeight="1">
      <c r="A20" s="632"/>
      <c r="B20" s="638"/>
      <c r="C20" s="149" t="s">
        <v>55</v>
      </c>
      <c r="D20" s="150" t="s">
        <v>76</v>
      </c>
      <c r="E20" s="150" t="s">
        <v>77</v>
      </c>
      <c r="F20" s="150" t="s">
        <v>78</v>
      </c>
      <c r="G20" s="635"/>
      <c r="H20" s="636"/>
      <c r="I20" s="532"/>
      <c r="J20" s="532"/>
      <c r="O20" s="632"/>
      <c r="P20" s="638"/>
      <c r="Q20" s="149" t="s">
        <v>55</v>
      </c>
      <c r="R20" s="150" t="s">
        <v>79</v>
      </c>
      <c r="S20" s="150" t="s">
        <v>80</v>
      </c>
      <c r="T20" s="150" t="s">
        <v>81</v>
      </c>
      <c r="U20" s="635"/>
      <c r="V20" s="636"/>
    </row>
    <row r="21" spans="1:33" ht="14.85" customHeight="1">
      <c r="A21" s="631" t="s">
        <v>82</v>
      </c>
      <c r="B21" s="637">
        <v>1695</v>
      </c>
      <c r="C21" s="147" t="s">
        <v>50</v>
      </c>
      <c r="D21" s="154">
        <v>9094709</v>
      </c>
      <c r="E21" s="154">
        <v>11584616</v>
      </c>
      <c r="F21" s="620" t="s">
        <v>66</v>
      </c>
      <c r="G21" s="620" t="s">
        <v>66</v>
      </c>
      <c r="H21" s="623" t="s">
        <v>66</v>
      </c>
      <c r="I21" s="532"/>
      <c r="J21" s="532"/>
      <c r="O21" s="631" t="s">
        <v>82</v>
      </c>
      <c r="P21" s="637">
        <v>5149</v>
      </c>
      <c r="Q21" s="147" t="s">
        <v>50</v>
      </c>
      <c r="R21" s="532">
        <v>33375728.517999999</v>
      </c>
      <c r="S21" s="532">
        <v>47952577.32</v>
      </c>
      <c r="T21" s="620" t="s">
        <v>66</v>
      </c>
      <c r="U21" s="620" t="s">
        <v>66</v>
      </c>
      <c r="V21" s="623" t="s">
        <v>66</v>
      </c>
    </row>
    <row r="22" spans="1:33" ht="14.25" customHeight="1">
      <c r="A22" s="616"/>
      <c r="B22" s="618"/>
      <c r="C22" s="148" t="s">
        <v>51</v>
      </c>
      <c r="D22" s="532">
        <v>5365.61</v>
      </c>
      <c r="E22" s="532">
        <v>6834.5820000000003</v>
      </c>
      <c r="F22" s="621"/>
      <c r="G22" s="621"/>
      <c r="H22" s="624"/>
      <c r="I22" s="532"/>
      <c r="J22" s="503">
        <v>19.2</v>
      </c>
      <c r="O22" s="616"/>
      <c r="P22" s="618"/>
      <c r="Q22" s="148" t="s">
        <v>51</v>
      </c>
      <c r="R22" s="532">
        <v>6481.9832999999999</v>
      </c>
      <c r="S22" s="532">
        <v>9312.9869999999992</v>
      </c>
      <c r="T22" s="621"/>
      <c r="U22" s="621"/>
      <c r="V22" s="624"/>
    </row>
    <row r="23" spans="1:33" ht="14.25" customHeight="1">
      <c r="A23" s="616"/>
      <c r="B23" s="618"/>
      <c r="C23" s="148" t="s">
        <v>52</v>
      </c>
      <c r="D23" s="155">
        <v>7534.97</v>
      </c>
      <c r="E23" s="155">
        <v>9380.2559999999994</v>
      </c>
      <c r="F23" s="621"/>
      <c r="G23" s="621"/>
      <c r="H23" s="624"/>
      <c r="I23" s="532"/>
      <c r="J23" s="503">
        <v>36.4</v>
      </c>
      <c r="O23" s="616"/>
      <c r="P23" s="618"/>
      <c r="Q23" s="148" t="s">
        <v>52</v>
      </c>
      <c r="R23" s="532">
        <v>8595.3459999999995</v>
      </c>
      <c r="S23" s="532">
        <v>12605.83</v>
      </c>
      <c r="T23" s="621"/>
      <c r="U23" s="621"/>
      <c r="V23" s="624"/>
      <c r="AC23" t="s">
        <v>172</v>
      </c>
      <c r="AD23" t="s">
        <v>173</v>
      </c>
      <c r="AE23" t="s">
        <v>174</v>
      </c>
      <c r="AF23" t="s">
        <v>175</v>
      </c>
      <c r="AG23" t="s">
        <v>176</v>
      </c>
    </row>
    <row r="24" spans="1:33" ht="14.25" customHeight="1">
      <c r="A24" s="616"/>
      <c r="B24" s="618"/>
      <c r="C24" s="148" t="s">
        <v>53</v>
      </c>
      <c r="D24" s="532">
        <v>2024.85</v>
      </c>
      <c r="E24" s="532">
        <v>3316.05</v>
      </c>
      <c r="F24" s="621"/>
      <c r="G24" s="621"/>
      <c r="H24" s="624"/>
      <c r="I24" s="532"/>
      <c r="J24" s="503">
        <f>J23-J22</f>
        <v>17.2</v>
      </c>
      <c r="O24" s="616"/>
      <c r="P24" s="618"/>
      <c r="Q24" s="148" t="s">
        <v>53</v>
      </c>
      <c r="R24" s="532">
        <v>3615.53</v>
      </c>
      <c r="S24" s="532">
        <v>5500</v>
      </c>
      <c r="T24" s="621"/>
      <c r="U24" s="621"/>
      <c r="V24" s="624"/>
      <c r="AB24" t="s">
        <v>132</v>
      </c>
      <c r="AC24" s="132">
        <f>R49</f>
        <v>5552.6779999999999</v>
      </c>
      <c r="AD24" s="132">
        <f>R51</f>
        <v>2552.19</v>
      </c>
      <c r="AE24" s="532">
        <v>7802.8729999999996</v>
      </c>
      <c r="AF24" s="532">
        <v>5466.88</v>
      </c>
      <c r="AG24" s="132"/>
    </row>
    <row r="25" spans="1:33" ht="14.25" customHeight="1">
      <c r="A25" s="616"/>
      <c r="B25" s="618"/>
      <c r="C25" s="148" t="s">
        <v>54</v>
      </c>
      <c r="D25" s="155">
        <v>4939.88</v>
      </c>
      <c r="E25" s="155">
        <v>6711.6</v>
      </c>
      <c r="F25" s="621"/>
      <c r="G25" s="621"/>
      <c r="H25" s="624"/>
      <c r="I25" s="532"/>
      <c r="J25" s="503"/>
      <c r="O25" s="616"/>
      <c r="P25" s="618"/>
      <c r="Q25" s="148" t="s">
        <v>54</v>
      </c>
      <c r="R25" s="532">
        <v>6255.77</v>
      </c>
      <c r="S25" s="532">
        <v>10118.31</v>
      </c>
      <c r="T25" s="621"/>
      <c r="U25" s="621"/>
      <c r="V25" s="624"/>
      <c r="AB25" t="s">
        <v>133</v>
      </c>
      <c r="AC25" s="132">
        <f>S49</f>
        <v>8316.73</v>
      </c>
      <c r="AD25" s="132">
        <f>S51</f>
        <v>4232.93</v>
      </c>
      <c r="AE25" s="165">
        <v>11794.57</v>
      </c>
      <c r="AF25" s="165">
        <v>9338.64</v>
      </c>
      <c r="AG25" s="418">
        <f>AC25/12</f>
        <v>693.06083333333333</v>
      </c>
    </row>
    <row r="26" spans="1:33" ht="16.5" customHeight="1" thickBot="1">
      <c r="A26" s="617"/>
      <c r="B26" s="619"/>
      <c r="C26" s="156" t="s">
        <v>55</v>
      </c>
      <c r="D26" s="157" t="s">
        <v>83</v>
      </c>
      <c r="E26" s="157" t="s">
        <v>84</v>
      </c>
      <c r="F26" s="622"/>
      <c r="G26" s="622"/>
      <c r="H26" s="625"/>
      <c r="I26" s="532"/>
      <c r="J26" s="532"/>
      <c r="O26" s="617"/>
      <c r="P26" s="619"/>
      <c r="Q26" s="156" t="s">
        <v>55</v>
      </c>
      <c r="R26" s="157" t="s">
        <v>85</v>
      </c>
      <c r="S26" s="157" t="s">
        <v>86</v>
      </c>
      <c r="T26" s="622"/>
      <c r="U26" s="622"/>
      <c r="V26" s="625"/>
      <c r="AC26" s="132">
        <f>AC25-AC24</f>
        <v>2764.0519999999997</v>
      </c>
      <c r="AD26" s="132">
        <f>AD25-AD24</f>
        <v>1680.7400000000002</v>
      </c>
    </row>
    <row r="27" spans="1:33">
      <c r="A27" s="158"/>
      <c r="B27" s="158"/>
      <c r="C27" s="159"/>
      <c r="D27" s="155"/>
      <c r="E27" s="155"/>
      <c r="F27" s="155"/>
      <c r="G27" s="155"/>
      <c r="H27" s="155"/>
      <c r="I27" s="155"/>
      <c r="J27" s="155"/>
      <c r="O27" s="158"/>
      <c r="P27" s="158"/>
      <c r="Q27" s="159"/>
      <c r="R27" s="155"/>
      <c r="S27" s="155"/>
      <c r="T27" s="155"/>
      <c r="U27" s="155"/>
      <c r="V27" s="155"/>
      <c r="AC27" s="473">
        <f>(AC25-AC24)/AC24</f>
        <v>0.49778719385492903</v>
      </c>
      <c r="AD27" s="473">
        <f>(AD25-AD24)/AD24</f>
        <v>0.6585481488447178</v>
      </c>
    </row>
    <row r="28" spans="1:33" ht="15.75" thickBot="1">
      <c r="A28" s="158"/>
      <c r="B28" s="158"/>
      <c r="C28" s="159"/>
      <c r="D28" s="155"/>
      <c r="E28" s="155"/>
      <c r="F28" s="155"/>
      <c r="G28" s="155"/>
      <c r="H28" s="155"/>
      <c r="I28" s="155"/>
      <c r="J28" s="155"/>
      <c r="O28" s="158"/>
      <c r="P28" s="158"/>
      <c r="Q28" s="159"/>
      <c r="R28" s="155"/>
      <c r="S28" s="155"/>
      <c r="T28" s="155"/>
      <c r="U28" s="155"/>
      <c r="V28" s="155"/>
    </row>
    <row r="29" spans="1:33" ht="45">
      <c r="A29" s="160" t="s">
        <v>41</v>
      </c>
      <c r="B29" s="161" t="s">
        <v>42</v>
      </c>
      <c r="C29" s="162" t="s">
        <v>43</v>
      </c>
      <c r="D29" s="161" t="s">
        <v>44</v>
      </c>
      <c r="E29" s="163" t="s">
        <v>45</v>
      </c>
      <c r="F29" s="163" t="s">
        <v>46</v>
      </c>
      <c r="G29" s="163" t="s">
        <v>47</v>
      </c>
      <c r="H29" s="164" t="s">
        <v>48</v>
      </c>
      <c r="I29" s="124"/>
      <c r="J29" s="124"/>
      <c r="O29" s="160" t="s">
        <v>41</v>
      </c>
      <c r="P29" s="161" t="s">
        <v>42</v>
      </c>
      <c r="Q29" s="162" t="s">
        <v>43</v>
      </c>
      <c r="R29" s="161" t="s">
        <v>44</v>
      </c>
      <c r="S29" s="163" t="s">
        <v>45</v>
      </c>
      <c r="T29" s="163" t="s">
        <v>46</v>
      </c>
      <c r="U29" s="163" t="s">
        <v>47</v>
      </c>
      <c r="V29" s="164" t="s">
        <v>48</v>
      </c>
    </row>
    <row r="30" spans="1:33" ht="15" customHeight="1">
      <c r="A30" s="631" t="s">
        <v>49</v>
      </c>
      <c r="B30" s="637">
        <v>1074</v>
      </c>
      <c r="C30" s="147" t="s">
        <v>50</v>
      </c>
      <c r="D30" s="531">
        <v>3923851</v>
      </c>
      <c r="E30" s="531">
        <v>5489697</v>
      </c>
      <c r="F30" s="531">
        <v>6961749</v>
      </c>
      <c r="G30" s="531">
        <v>8032003</v>
      </c>
      <c r="H30" s="534">
        <v>8949383</v>
      </c>
      <c r="I30" s="532"/>
      <c r="J30" s="532"/>
      <c r="O30" s="631" t="s">
        <v>49</v>
      </c>
      <c r="P30" s="637">
        <v>5177</v>
      </c>
      <c r="Q30" s="147" t="s">
        <v>50</v>
      </c>
      <c r="R30" s="531">
        <v>26170356.462000001</v>
      </c>
      <c r="S30" s="531">
        <v>39918316.369999997</v>
      </c>
      <c r="T30" s="531">
        <v>44934126.839999996</v>
      </c>
      <c r="U30" s="531">
        <v>49197887.75</v>
      </c>
      <c r="V30" s="534">
        <v>52116033.270000003</v>
      </c>
    </row>
    <row r="31" spans="1:33">
      <c r="A31" s="616"/>
      <c r="B31" s="618"/>
      <c r="C31" s="148" t="s">
        <v>87</v>
      </c>
      <c r="D31" s="532">
        <v>3653.4920000000002</v>
      </c>
      <c r="E31" s="532">
        <v>5111.45</v>
      </c>
      <c r="F31" s="532">
        <v>6482.0749999999998</v>
      </c>
      <c r="G31" s="532">
        <v>7478.5879999999997</v>
      </c>
      <c r="H31" s="535">
        <v>8332.759</v>
      </c>
      <c r="I31" s="532"/>
      <c r="J31" s="532"/>
      <c r="O31" s="616"/>
      <c r="P31" s="618"/>
      <c r="Q31" s="148" t="s">
        <v>51</v>
      </c>
      <c r="R31" s="532">
        <v>5055.12</v>
      </c>
      <c r="S31" s="532">
        <v>7710.7030000000004</v>
      </c>
      <c r="T31" s="532">
        <v>8679.5660000000007</v>
      </c>
      <c r="U31" s="532">
        <v>9503.1659999999993</v>
      </c>
      <c r="V31" s="535">
        <v>10066.84</v>
      </c>
    </row>
    <row r="32" spans="1:33" ht="18" customHeight="1">
      <c r="A32" s="616"/>
      <c r="B32" s="618"/>
      <c r="C32" s="148" t="s">
        <v>51</v>
      </c>
      <c r="D32" s="532">
        <v>5736.6239999999998</v>
      </c>
      <c r="E32" s="532">
        <v>7990.826</v>
      </c>
      <c r="F32" s="532">
        <v>10133.549999999999</v>
      </c>
      <c r="G32" s="532">
        <v>11657.48</v>
      </c>
      <c r="H32" s="535">
        <v>13219.18</v>
      </c>
      <c r="I32" s="532"/>
      <c r="J32" s="532"/>
      <c r="O32" s="616"/>
      <c r="P32" s="618"/>
      <c r="Q32" s="148" t="s">
        <v>52</v>
      </c>
      <c r="R32" s="532">
        <v>7223.3940000000002</v>
      </c>
      <c r="S32" s="532">
        <v>11178.47</v>
      </c>
      <c r="T32" s="532">
        <v>13035.72</v>
      </c>
      <c r="U32" s="532">
        <v>14664.05</v>
      </c>
      <c r="V32" s="535">
        <v>16030.77</v>
      </c>
    </row>
    <row r="33" spans="1:28">
      <c r="A33" s="616"/>
      <c r="B33" s="618"/>
      <c r="C33" s="148" t="s">
        <v>52</v>
      </c>
      <c r="D33" s="532">
        <v>780.64499999999998</v>
      </c>
      <c r="E33" s="532">
        <v>1538.915</v>
      </c>
      <c r="F33" s="532">
        <v>2086.25</v>
      </c>
      <c r="G33" s="532">
        <v>2369.1550000000002</v>
      </c>
      <c r="H33" s="535">
        <v>2147.7399999999998</v>
      </c>
      <c r="I33" s="532"/>
      <c r="J33" s="532"/>
      <c r="O33" s="616"/>
      <c r="P33" s="618"/>
      <c r="Q33" s="148" t="s">
        <v>53</v>
      </c>
      <c r="R33" s="532">
        <v>2105.2600000000002</v>
      </c>
      <c r="S33" s="532">
        <v>3605.54</v>
      </c>
      <c r="T33" s="532">
        <v>3716.8</v>
      </c>
      <c r="U33" s="532">
        <v>3903.71</v>
      </c>
      <c r="V33" s="535">
        <v>3595.16</v>
      </c>
    </row>
    <row r="34" spans="1:28" ht="19.5" customHeight="1">
      <c r="A34" s="616"/>
      <c r="B34" s="618"/>
      <c r="C34" s="148" t="s">
        <v>53</v>
      </c>
      <c r="D34" s="532">
        <v>3103.44</v>
      </c>
      <c r="E34" s="532">
        <v>5639.34</v>
      </c>
      <c r="F34" s="532">
        <v>7237.98</v>
      </c>
      <c r="G34" s="532">
        <v>8734.25</v>
      </c>
      <c r="H34" s="535">
        <v>10145.280000000001</v>
      </c>
      <c r="I34" s="532"/>
      <c r="J34" s="532"/>
      <c r="O34" s="616"/>
      <c r="P34" s="618"/>
      <c r="Q34" s="148" t="s">
        <v>54</v>
      </c>
      <c r="R34" s="532">
        <v>4831.53</v>
      </c>
      <c r="S34" s="532">
        <v>8698.82</v>
      </c>
      <c r="T34" s="532">
        <v>10464.66</v>
      </c>
      <c r="U34" s="532">
        <v>11790</v>
      </c>
      <c r="V34" s="535">
        <v>13064.39</v>
      </c>
    </row>
    <row r="35" spans="1:28">
      <c r="A35" s="632"/>
      <c r="B35" s="638"/>
      <c r="C35" s="148" t="s">
        <v>54</v>
      </c>
      <c r="D35" s="150" t="s">
        <v>56</v>
      </c>
      <c r="E35" s="150" t="s">
        <v>57</v>
      </c>
      <c r="F35" s="150" t="s">
        <v>57</v>
      </c>
      <c r="G35" s="150" t="s">
        <v>58</v>
      </c>
      <c r="H35" s="151" t="s">
        <v>59</v>
      </c>
      <c r="I35" s="322"/>
      <c r="J35" s="322"/>
      <c r="O35" s="632"/>
      <c r="P35" s="638"/>
      <c r="Q35" s="149" t="s">
        <v>55</v>
      </c>
      <c r="R35" s="150" t="s">
        <v>60</v>
      </c>
      <c r="S35" s="150" t="s">
        <v>88</v>
      </c>
      <c r="T35" s="150" t="s">
        <v>62</v>
      </c>
      <c r="U35" s="150" t="s">
        <v>63</v>
      </c>
      <c r="V35" s="151" t="s">
        <v>64</v>
      </c>
    </row>
    <row r="36" spans="1:28" ht="15" customHeight="1">
      <c r="A36" s="631" t="s">
        <v>89</v>
      </c>
      <c r="B36" s="637">
        <v>2514</v>
      </c>
      <c r="C36" s="147" t="s">
        <v>50</v>
      </c>
      <c r="D36" s="531">
        <v>9399378</v>
      </c>
      <c r="E36" s="531">
        <f>E37*2514</f>
        <v>12754590.450000001</v>
      </c>
      <c r="F36" s="531">
        <f t="shared" ref="F36:G36" si="0">F37*2514</f>
        <v>16010067.095999999</v>
      </c>
      <c r="G36" s="531">
        <f t="shared" si="0"/>
        <v>18571978.908</v>
      </c>
      <c r="H36" s="628" t="s">
        <v>66</v>
      </c>
      <c r="I36" s="376"/>
      <c r="J36" s="376"/>
      <c r="O36" s="631" t="s">
        <v>89</v>
      </c>
      <c r="P36" s="637">
        <v>11991</v>
      </c>
      <c r="Q36" s="147" t="s">
        <v>50</v>
      </c>
      <c r="R36" s="531">
        <v>60630400.671999998</v>
      </c>
      <c r="S36" s="531">
        <v>92733327.359999999</v>
      </c>
      <c r="T36" s="531">
        <v>105325077.64</v>
      </c>
      <c r="U36" s="531">
        <v>115122859.2</v>
      </c>
      <c r="V36" s="628" t="s">
        <v>66</v>
      </c>
    </row>
    <row r="37" spans="1:28">
      <c r="A37" s="616"/>
      <c r="B37" s="618"/>
      <c r="C37" s="148" t="s">
        <v>51</v>
      </c>
      <c r="D37" s="532">
        <v>3738.8139999999999</v>
      </c>
      <c r="E37" s="532">
        <v>5073.4250000000002</v>
      </c>
      <c r="F37" s="532">
        <v>6368.3639999999996</v>
      </c>
      <c r="G37" s="532">
        <v>7387.4219999999996</v>
      </c>
      <c r="H37" s="629"/>
      <c r="I37" s="376"/>
      <c r="J37" s="376"/>
      <c r="O37" s="616"/>
      <c r="P37" s="618"/>
      <c r="Q37" s="148" t="s">
        <v>51</v>
      </c>
      <c r="R37" s="167">
        <v>5056.3249999999998</v>
      </c>
      <c r="S37" s="167">
        <v>7733.5749999999998</v>
      </c>
      <c r="T37" s="167">
        <v>8783.6790000000001</v>
      </c>
      <c r="U37" s="167">
        <v>9600.7690000000002</v>
      </c>
      <c r="V37" s="629"/>
    </row>
    <row r="38" spans="1:28">
      <c r="A38" s="616"/>
      <c r="B38" s="618"/>
      <c r="C38" s="148" t="s">
        <v>52</v>
      </c>
      <c r="D38" s="532">
        <v>5849.0219999999999</v>
      </c>
      <c r="E38" s="532">
        <v>7917.1880000000001</v>
      </c>
      <c r="F38" s="532">
        <v>9925.6470000000008</v>
      </c>
      <c r="G38" s="186">
        <v>11556.93</v>
      </c>
      <c r="H38" s="629"/>
      <c r="I38" s="376"/>
      <c r="J38" s="376"/>
      <c r="O38" s="616"/>
      <c r="P38" s="618"/>
      <c r="Q38" s="148" t="s">
        <v>52</v>
      </c>
      <c r="R38" s="532">
        <v>7286.4319999999998</v>
      </c>
      <c r="S38" s="532">
        <v>11297.92</v>
      </c>
      <c r="T38" s="167">
        <v>13301.98</v>
      </c>
      <c r="U38" s="532">
        <v>14835.42</v>
      </c>
      <c r="V38" s="629"/>
    </row>
    <row r="39" spans="1:28">
      <c r="A39" s="616"/>
      <c r="B39" s="618"/>
      <c r="C39" s="148" t="s">
        <v>53</v>
      </c>
      <c r="D39" s="532">
        <v>877.12</v>
      </c>
      <c r="E39" s="532">
        <v>1369.7850000000001</v>
      </c>
      <c r="F39" s="532">
        <v>1797.62</v>
      </c>
      <c r="G39" s="532">
        <v>2183.7800000000002</v>
      </c>
      <c r="H39" s="629"/>
      <c r="I39" s="376"/>
      <c r="J39" s="376"/>
      <c r="O39" s="616"/>
      <c r="P39" s="618"/>
      <c r="Q39" s="148" t="s">
        <v>53</v>
      </c>
      <c r="R39" s="532">
        <v>2143.75</v>
      </c>
      <c r="S39" s="532">
        <v>3581.74</v>
      </c>
      <c r="T39" s="532">
        <v>3805.33</v>
      </c>
      <c r="U39" s="532">
        <v>3961.7</v>
      </c>
      <c r="V39" s="629"/>
    </row>
    <row r="40" spans="1:28">
      <c r="A40" s="616"/>
      <c r="B40" s="618"/>
      <c r="C40" s="148" t="s">
        <v>54</v>
      </c>
      <c r="D40" s="532">
        <v>3366.42</v>
      </c>
      <c r="E40" s="532">
        <v>5619.35</v>
      </c>
      <c r="F40" s="532">
        <v>7027.15</v>
      </c>
      <c r="G40" s="532">
        <v>8416.73</v>
      </c>
      <c r="H40" s="629"/>
      <c r="I40" s="376"/>
      <c r="J40" s="376"/>
      <c r="O40" s="616"/>
      <c r="P40" s="618"/>
      <c r="Q40" s="148" t="s">
        <v>54</v>
      </c>
      <c r="R40" s="532">
        <v>5024.92</v>
      </c>
      <c r="S40" s="532">
        <v>8972.7900000000009</v>
      </c>
      <c r="T40" s="532">
        <v>10956.29</v>
      </c>
      <c r="U40" s="532">
        <v>12110.93</v>
      </c>
      <c r="V40" s="629"/>
    </row>
    <row r="41" spans="1:28">
      <c r="A41" s="632"/>
      <c r="B41" s="638"/>
      <c r="C41" s="149" t="s">
        <v>55</v>
      </c>
      <c r="D41" s="150" t="s">
        <v>90</v>
      </c>
      <c r="E41" s="150" t="s">
        <v>91</v>
      </c>
      <c r="F41" s="150" t="s">
        <v>92</v>
      </c>
      <c r="G41" s="150" t="s">
        <v>90</v>
      </c>
      <c r="H41" s="630"/>
      <c r="I41" s="376"/>
      <c r="J41" s="376"/>
      <c r="O41" s="632"/>
      <c r="P41" s="638"/>
      <c r="Q41" s="149" t="s">
        <v>55</v>
      </c>
      <c r="R41" s="150" t="s">
        <v>93</v>
      </c>
      <c r="S41" s="150" t="s">
        <v>94</v>
      </c>
      <c r="T41" s="150" t="s">
        <v>95</v>
      </c>
      <c r="U41" s="150" t="s">
        <v>96</v>
      </c>
      <c r="V41" s="630"/>
    </row>
    <row r="42" spans="1:28" ht="15" customHeight="1">
      <c r="A42" s="631" t="s">
        <v>97</v>
      </c>
      <c r="B42" s="637">
        <v>4395</v>
      </c>
      <c r="C42" s="147" t="s">
        <v>50</v>
      </c>
      <c r="D42" s="531">
        <f>D43*4395</f>
        <v>17950863.285</v>
      </c>
      <c r="E42" s="531">
        <f t="shared" ref="E42:F42" si="1">E43*4395</f>
        <v>24321670.695</v>
      </c>
      <c r="F42" s="531">
        <f t="shared" si="1"/>
        <v>30367177.785</v>
      </c>
      <c r="G42" s="620" t="s">
        <v>66</v>
      </c>
      <c r="H42" s="623" t="s">
        <v>66</v>
      </c>
      <c r="I42" s="532"/>
      <c r="J42" s="532"/>
      <c r="O42" s="631" t="s">
        <v>97</v>
      </c>
      <c r="P42" s="637">
        <v>17356</v>
      </c>
      <c r="Q42" s="147" t="s">
        <v>50</v>
      </c>
      <c r="R42" s="531">
        <v>91587282.623999998</v>
      </c>
      <c r="S42" s="531">
        <v>139215380.70000002</v>
      </c>
      <c r="T42" s="531">
        <v>157438799.53999999</v>
      </c>
      <c r="U42" s="620" t="s">
        <v>66</v>
      </c>
      <c r="V42" s="623" t="s">
        <v>66</v>
      </c>
    </row>
    <row r="43" spans="1:28">
      <c r="A43" s="616"/>
      <c r="B43" s="618"/>
      <c r="C43" s="148" t="s">
        <v>51</v>
      </c>
      <c r="D43" s="532">
        <v>4084.3829999999998</v>
      </c>
      <c r="E43" s="532">
        <v>5533.9409999999998</v>
      </c>
      <c r="F43" s="532">
        <v>6909.4830000000002</v>
      </c>
      <c r="G43" s="621"/>
      <c r="H43" s="624"/>
      <c r="I43" s="532"/>
      <c r="J43" s="532"/>
      <c r="O43" s="616"/>
      <c r="P43" s="618"/>
      <c r="Q43" s="148" t="s">
        <v>51</v>
      </c>
      <c r="R43" s="532">
        <v>5276.9809999999998</v>
      </c>
      <c r="S43" s="532">
        <v>8021.1710000000003</v>
      </c>
      <c r="T43" s="532">
        <v>9071.1460000000006</v>
      </c>
      <c r="U43" s="621"/>
      <c r="V43" s="624"/>
    </row>
    <row r="44" spans="1:28">
      <c r="A44" s="616"/>
      <c r="B44" s="618"/>
      <c r="C44" s="148" t="s">
        <v>52</v>
      </c>
      <c r="D44" s="166">
        <v>6259.018</v>
      </c>
      <c r="E44" s="532">
        <v>8337.9050000000007</v>
      </c>
      <c r="F44" s="532">
        <v>10547.82</v>
      </c>
      <c r="G44" s="621"/>
      <c r="H44" s="624"/>
      <c r="I44" s="532"/>
      <c r="J44" s="532"/>
      <c r="O44" s="616"/>
      <c r="P44" s="618"/>
      <c r="Q44" s="148" t="s">
        <v>52</v>
      </c>
      <c r="R44" s="167">
        <v>7549.232</v>
      </c>
      <c r="S44" s="167">
        <v>11538.78</v>
      </c>
      <c r="T44" s="167">
        <v>13621.63</v>
      </c>
      <c r="U44" s="621"/>
      <c r="V44" s="624"/>
    </row>
    <row r="45" spans="1:28">
      <c r="A45" s="616"/>
      <c r="B45" s="618"/>
      <c r="C45" s="148" t="s">
        <v>53</v>
      </c>
      <c r="D45" s="532">
        <v>1093.1199999999999</v>
      </c>
      <c r="E45" s="532">
        <v>1751.1</v>
      </c>
      <c r="F45" s="532">
        <v>2321.56</v>
      </c>
      <c r="G45" s="621"/>
      <c r="H45" s="624"/>
      <c r="I45" s="532"/>
      <c r="J45" s="532"/>
      <c r="O45" s="616"/>
      <c r="P45" s="618"/>
      <c r="Q45" s="148" t="s">
        <v>53</v>
      </c>
      <c r="R45" s="167">
        <v>2278.44</v>
      </c>
      <c r="S45" s="167">
        <v>3890.14</v>
      </c>
      <c r="T45" s="532">
        <v>4109.625</v>
      </c>
      <c r="U45" s="621"/>
      <c r="V45" s="624"/>
      <c r="W45" s="336"/>
      <c r="X45" s="336"/>
      <c r="Y45" s="336"/>
      <c r="Z45" s="336"/>
      <c r="AA45" s="336"/>
      <c r="AB45" s="336"/>
    </row>
    <row r="46" spans="1:28">
      <c r="A46" s="616"/>
      <c r="B46" s="618"/>
      <c r="C46" s="148" t="s">
        <v>54</v>
      </c>
      <c r="D46" s="532">
        <v>3716.83</v>
      </c>
      <c r="E46" s="532">
        <v>5754.5</v>
      </c>
      <c r="F46" s="532">
        <v>7540.34</v>
      </c>
      <c r="G46" s="621"/>
      <c r="H46" s="624"/>
      <c r="I46" s="532"/>
      <c r="J46" s="532"/>
      <c r="O46" s="616"/>
      <c r="P46" s="618"/>
      <c r="Q46" s="148" t="s">
        <v>54</v>
      </c>
      <c r="R46" s="532">
        <v>5225.1049999999996</v>
      </c>
      <c r="S46" s="167">
        <v>9130.01</v>
      </c>
      <c r="T46" s="167">
        <v>11192.25</v>
      </c>
      <c r="U46" s="621"/>
      <c r="V46" s="624"/>
    </row>
    <row r="47" spans="1:28">
      <c r="A47" s="632"/>
      <c r="B47" s="638"/>
      <c r="C47" s="149" t="s">
        <v>55</v>
      </c>
      <c r="D47" s="150" t="s">
        <v>98</v>
      </c>
      <c r="E47" s="150" t="s">
        <v>99</v>
      </c>
      <c r="F47" s="150" t="s">
        <v>100</v>
      </c>
      <c r="G47" s="635"/>
      <c r="H47" s="636"/>
      <c r="I47" s="532"/>
      <c r="J47" s="532"/>
      <c r="O47" s="632"/>
      <c r="P47" s="638"/>
      <c r="Q47" s="149" t="s">
        <v>55</v>
      </c>
      <c r="R47" s="150" t="s">
        <v>101</v>
      </c>
      <c r="S47" s="150" t="s">
        <v>102</v>
      </c>
      <c r="T47" s="150" t="s">
        <v>103</v>
      </c>
      <c r="U47" s="635"/>
      <c r="V47" s="636"/>
    </row>
    <row r="48" spans="1:28" ht="15" customHeight="1">
      <c r="A48" s="616" t="s">
        <v>104</v>
      </c>
      <c r="B48" s="618">
        <v>6090</v>
      </c>
      <c r="C48" s="148" t="s">
        <v>50</v>
      </c>
      <c r="D48" s="532">
        <f>D49*6090</f>
        <v>27045574.289999999</v>
      </c>
      <c r="E48" s="532">
        <f>E49*6090</f>
        <v>35906286.780000001</v>
      </c>
      <c r="F48" s="620" t="s">
        <v>66</v>
      </c>
      <c r="G48" s="620" t="s">
        <v>66</v>
      </c>
      <c r="H48" s="623" t="s">
        <v>66</v>
      </c>
      <c r="I48" s="532"/>
      <c r="J48" s="532"/>
      <c r="O48" s="616" t="s">
        <v>104</v>
      </c>
      <c r="P48" s="618">
        <v>22505</v>
      </c>
      <c r="Q48" s="148" t="s">
        <v>50</v>
      </c>
      <c r="R48" s="531">
        <v>124963011.095</v>
      </c>
      <c r="S48" s="531">
        <v>187168031.32999998</v>
      </c>
      <c r="T48" s="620" t="s">
        <v>66</v>
      </c>
      <c r="U48" s="620" t="s">
        <v>66</v>
      </c>
      <c r="V48" s="623" t="s">
        <v>66</v>
      </c>
      <c r="W48" s="473">
        <f>(S48-R48)/R48</f>
        <v>0.49778746278536917</v>
      </c>
      <c r="X48" s="473"/>
      <c r="Y48" s="473"/>
      <c r="Z48" s="473"/>
      <c r="AA48" s="473"/>
      <c r="AB48" s="132">
        <f>S48-R48</f>
        <v>62205020.234999985</v>
      </c>
    </row>
    <row r="49" spans="1:40">
      <c r="A49" s="616"/>
      <c r="B49" s="618"/>
      <c r="C49" s="148" t="s">
        <v>51</v>
      </c>
      <c r="D49" s="532">
        <v>4440.9809999999998</v>
      </c>
      <c r="E49" s="532">
        <v>5895.942</v>
      </c>
      <c r="F49" s="621"/>
      <c r="G49" s="621"/>
      <c r="H49" s="624"/>
      <c r="I49" s="532"/>
      <c r="J49" s="532"/>
      <c r="O49" s="616"/>
      <c r="P49" s="618"/>
      <c r="Q49" s="148" t="s">
        <v>51</v>
      </c>
      <c r="R49" s="165">
        <v>5552.6779999999999</v>
      </c>
      <c r="S49" s="165">
        <v>8316.73</v>
      </c>
      <c r="T49" s="621"/>
      <c r="U49" s="621"/>
      <c r="V49" s="624"/>
      <c r="W49" s="124"/>
      <c r="X49" s="124"/>
      <c r="Y49" s="124"/>
      <c r="Z49" s="124"/>
      <c r="AA49" s="124"/>
      <c r="AB49" s="124"/>
    </row>
    <row r="50" spans="1:40">
      <c r="A50" s="616"/>
      <c r="B50" s="618"/>
      <c r="C50" s="148" t="s">
        <v>52</v>
      </c>
      <c r="D50" s="532">
        <v>6636.95</v>
      </c>
      <c r="E50" s="532">
        <v>8647.9490000000005</v>
      </c>
      <c r="F50" s="621"/>
      <c r="G50" s="621"/>
      <c r="H50" s="624"/>
      <c r="I50" s="532"/>
      <c r="J50" s="532"/>
      <c r="O50" s="616"/>
      <c r="P50" s="618"/>
      <c r="Q50" s="148" t="s">
        <v>52</v>
      </c>
      <c r="R50" s="532">
        <v>7802.8729999999996</v>
      </c>
      <c r="S50" s="165">
        <v>11794.57</v>
      </c>
      <c r="T50" s="621"/>
      <c r="U50" s="621"/>
      <c r="V50" s="624"/>
      <c r="W50" s="165"/>
      <c r="X50" s="165"/>
      <c r="Y50" s="165"/>
      <c r="Z50" s="165"/>
      <c r="AA50" s="165"/>
      <c r="AB50" s="183"/>
    </row>
    <row r="51" spans="1:40">
      <c r="A51" s="616"/>
      <c r="B51" s="618"/>
      <c r="C51" s="148" t="s">
        <v>53</v>
      </c>
      <c r="D51" s="532">
        <v>1354.62</v>
      </c>
      <c r="E51" s="532">
        <v>2160.9699999999998</v>
      </c>
      <c r="F51" s="621"/>
      <c r="G51" s="621"/>
      <c r="H51" s="624"/>
      <c r="I51" s="532"/>
      <c r="J51" s="532"/>
      <c r="O51" s="616"/>
      <c r="P51" s="618"/>
      <c r="Q51" s="148" t="s">
        <v>53</v>
      </c>
      <c r="R51" s="532">
        <v>2552.19</v>
      </c>
      <c r="S51" s="532">
        <v>4232.93</v>
      </c>
      <c r="T51" s="621"/>
      <c r="U51" s="621"/>
      <c r="V51" s="624"/>
      <c r="W51" s="165"/>
      <c r="X51" s="165"/>
      <c r="Y51" s="165"/>
      <c r="Z51" s="165"/>
      <c r="AA51" s="165"/>
      <c r="AB51" s="183"/>
    </row>
    <row r="52" spans="1:40">
      <c r="A52" s="616"/>
      <c r="B52" s="618"/>
      <c r="C52" s="148" t="s">
        <v>54</v>
      </c>
      <c r="D52" s="532">
        <v>4042.13</v>
      </c>
      <c r="E52" s="532">
        <v>6088.5150000000003</v>
      </c>
      <c r="F52" s="621"/>
      <c r="G52" s="621"/>
      <c r="H52" s="624"/>
      <c r="I52" s="532"/>
      <c r="J52" s="532"/>
      <c r="O52" s="616"/>
      <c r="P52" s="618"/>
      <c r="Q52" s="148" t="s">
        <v>54</v>
      </c>
      <c r="R52" s="532">
        <v>5466.88</v>
      </c>
      <c r="S52" s="165">
        <v>9338.64</v>
      </c>
      <c r="T52" s="621"/>
      <c r="U52" s="621"/>
      <c r="V52" s="624"/>
      <c r="W52" s="165"/>
      <c r="X52" s="165"/>
      <c r="Y52" s="165"/>
      <c r="Z52" s="165"/>
      <c r="AA52" s="165"/>
      <c r="AB52" s="183"/>
    </row>
    <row r="53" spans="1:40" ht="15.75" thickBot="1">
      <c r="A53" s="617"/>
      <c r="B53" s="619"/>
      <c r="C53" s="156" t="s">
        <v>55</v>
      </c>
      <c r="D53" s="168" t="s">
        <v>105</v>
      </c>
      <c r="E53" s="168" t="s">
        <v>106</v>
      </c>
      <c r="F53" s="622"/>
      <c r="G53" s="622"/>
      <c r="H53" s="625"/>
      <c r="I53" s="532"/>
      <c r="J53" s="467"/>
      <c r="O53" s="617"/>
      <c r="P53" s="619"/>
      <c r="Q53" s="156" t="s">
        <v>55</v>
      </c>
      <c r="R53" s="168" t="s">
        <v>107</v>
      </c>
      <c r="S53" s="168" t="s">
        <v>108</v>
      </c>
      <c r="T53" s="622"/>
      <c r="U53" s="622"/>
      <c r="V53" s="625"/>
      <c r="W53" s="165"/>
      <c r="X53" s="165"/>
      <c r="Y53" s="165"/>
      <c r="Z53" s="165"/>
      <c r="AA53" s="165"/>
      <c r="AB53" s="183"/>
    </row>
    <row r="54" spans="1:40">
      <c r="W54" s="165"/>
      <c r="X54" s="165"/>
      <c r="Y54" s="165"/>
      <c r="Z54" s="165"/>
      <c r="AA54" s="165"/>
      <c r="AB54" s="183"/>
    </row>
    <row r="55" spans="1:40" s="336" customFormat="1">
      <c r="A55" s="331"/>
      <c r="B55" s="332"/>
      <c r="C55" s="333"/>
      <c r="D55" s="334"/>
      <c r="E55" s="334"/>
      <c r="F55" s="335"/>
      <c r="G55" s="335"/>
      <c r="H55" s="335"/>
      <c r="I55" s="335"/>
      <c r="J55" s="335"/>
      <c r="O55" s="331"/>
      <c r="P55" s="332"/>
      <c r="Q55" s="333"/>
      <c r="R55" s="334"/>
      <c r="S55" s="334"/>
      <c r="T55" s="335"/>
      <c r="U55" s="335"/>
      <c r="V55" s="335"/>
      <c r="W55" s="165"/>
      <c r="X55" s="165"/>
      <c r="Y55" s="165"/>
      <c r="Z55" s="165"/>
      <c r="AA55" s="165"/>
      <c r="AB55" s="183"/>
    </row>
    <row r="56" spans="1:40" ht="15.75" thickBot="1">
      <c r="W56" s="165"/>
      <c r="X56" s="165"/>
      <c r="Y56" s="165"/>
      <c r="Z56" s="165"/>
      <c r="AA56" s="165"/>
      <c r="AB56" s="183"/>
    </row>
    <row r="57" spans="1:40">
      <c r="A57" s="642" t="s">
        <v>39</v>
      </c>
      <c r="B57" s="643"/>
      <c r="C57" s="643"/>
      <c r="D57" s="643"/>
      <c r="E57" s="643"/>
      <c r="F57" s="643"/>
      <c r="G57" s="643"/>
      <c r="H57" s="644"/>
      <c r="I57" s="468"/>
      <c r="J57" s="337"/>
      <c r="O57" s="645" t="s">
        <v>40</v>
      </c>
      <c r="P57" s="646"/>
      <c r="Q57" s="646"/>
      <c r="R57" s="646"/>
      <c r="S57" s="646"/>
      <c r="T57" s="646"/>
      <c r="U57" s="646"/>
      <c r="V57" s="647"/>
      <c r="W57" s="165"/>
      <c r="X57" s="165"/>
      <c r="Y57" s="165"/>
      <c r="Z57" s="165"/>
      <c r="AA57" s="165"/>
      <c r="AB57" s="183"/>
      <c r="AC57" s="473">
        <f>(V60-R60)/R60</f>
        <v>0.90577030430577865</v>
      </c>
      <c r="AD57" s="418">
        <f>(S60-R60)/R60</f>
        <v>0.50655865309770243</v>
      </c>
    </row>
    <row r="58" spans="1:40">
      <c r="A58" s="639" t="s">
        <v>109</v>
      </c>
      <c r="B58" s="640"/>
      <c r="C58" s="640"/>
      <c r="D58" s="640"/>
      <c r="E58" s="640"/>
      <c r="F58" s="640"/>
      <c r="G58" s="640"/>
      <c r="H58" s="641"/>
      <c r="I58" s="538"/>
      <c r="J58" s="538"/>
      <c r="O58" s="639" t="s">
        <v>109</v>
      </c>
      <c r="P58" s="640"/>
      <c r="Q58" s="640"/>
      <c r="R58" s="640"/>
      <c r="S58" s="640"/>
      <c r="T58" s="640"/>
      <c r="U58" s="640"/>
      <c r="V58" s="641"/>
      <c r="W58" s="165"/>
      <c r="X58" s="165"/>
      <c r="Y58" s="165"/>
      <c r="Z58" s="165"/>
      <c r="AA58" s="165"/>
      <c r="AB58" s="183"/>
    </row>
    <row r="59" spans="1:40" ht="45">
      <c r="A59" s="143" t="s">
        <v>41</v>
      </c>
      <c r="B59" s="144" t="s">
        <v>42</v>
      </c>
      <c r="C59" s="145" t="s">
        <v>43</v>
      </c>
      <c r="D59" s="144" t="s">
        <v>44</v>
      </c>
      <c r="E59" s="124" t="s">
        <v>45</v>
      </c>
      <c r="F59" s="124" t="s">
        <v>46</v>
      </c>
      <c r="G59" s="124" t="s">
        <v>47</v>
      </c>
      <c r="H59" s="146" t="s">
        <v>48</v>
      </c>
      <c r="I59" s="124" t="s">
        <v>177</v>
      </c>
      <c r="J59" s="124" t="s">
        <v>178</v>
      </c>
      <c r="O59" s="143" t="s">
        <v>41</v>
      </c>
      <c r="P59" s="144" t="s">
        <v>42</v>
      </c>
      <c r="Q59" s="145" t="s">
        <v>43</v>
      </c>
      <c r="R59" s="144" t="s">
        <v>44</v>
      </c>
      <c r="S59" s="124" t="s">
        <v>45</v>
      </c>
      <c r="T59" s="124" t="s">
        <v>46</v>
      </c>
      <c r="U59" s="124" t="s">
        <v>47</v>
      </c>
      <c r="V59" s="146" t="s">
        <v>48</v>
      </c>
      <c r="W59" s="124" t="s">
        <v>177</v>
      </c>
      <c r="X59" s="124" t="s">
        <v>178</v>
      </c>
      <c r="AD59" s="83"/>
      <c r="AE59" s="144"/>
      <c r="AF59" s="532"/>
      <c r="AG59" s="83"/>
      <c r="AH59" s="83"/>
      <c r="AI59" s="83"/>
      <c r="AJ59" s="83"/>
      <c r="AK59" s="83"/>
      <c r="AL59" s="83"/>
      <c r="AM59" s="83"/>
      <c r="AN59" s="83"/>
    </row>
    <row r="60" spans="1:40" ht="15" customHeight="1">
      <c r="A60" s="631" t="s">
        <v>49</v>
      </c>
      <c r="B60" s="637">
        <v>1074</v>
      </c>
      <c r="C60" s="147" t="s">
        <v>50</v>
      </c>
      <c r="D60" s="436">
        <f>D61*1074</f>
        <v>4135416.594</v>
      </c>
      <c r="E60" s="436">
        <f t="shared" ref="E60:H60" si="2">E61*1074</f>
        <v>5729149.8960000006</v>
      </c>
      <c r="F60" s="436">
        <f t="shared" si="2"/>
        <v>7159422.5460000001</v>
      </c>
      <c r="G60" s="436">
        <f t="shared" si="2"/>
        <v>8142874.6799999997</v>
      </c>
      <c r="H60" s="437">
        <f t="shared" si="2"/>
        <v>9050302.6500000004</v>
      </c>
      <c r="I60" s="532">
        <f>E60-D60</f>
        <v>1593733.3020000006</v>
      </c>
      <c r="J60" s="338">
        <f>(E60-D60)/D60</f>
        <v>0.38538639717998885</v>
      </c>
      <c r="K60" s="338">
        <f t="shared" ref="K60:M60" si="3">(F60-E60)/E60</f>
        <v>0.24964832059963948</v>
      </c>
      <c r="L60" s="338">
        <f t="shared" si="3"/>
        <v>0.13736472846535067</v>
      </c>
      <c r="M60" s="338">
        <f t="shared" si="3"/>
        <v>0.11143828262870929</v>
      </c>
      <c r="N60" s="338">
        <f>(H60-D60)/D60</f>
        <v>1.1884863215790442</v>
      </c>
      <c r="O60" s="631" t="s">
        <v>49</v>
      </c>
      <c r="P60" s="637">
        <v>5177</v>
      </c>
      <c r="Q60" s="147" t="s">
        <v>50</v>
      </c>
      <c r="R60" s="436">
        <f>R61*5177</f>
        <v>27654488.245999999</v>
      </c>
      <c r="S60" s="436">
        <f t="shared" ref="S60:V60" si="4">S61*5177</f>
        <v>41663108.564000003</v>
      </c>
      <c r="T60" s="436">
        <f t="shared" si="4"/>
        <v>46210844.214000002</v>
      </c>
      <c r="U60" s="436">
        <f t="shared" si="4"/>
        <v>49876807.339000002</v>
      </c>
      <c r="V60" s="437">
        <f t="shared" si="4"/>
        <v>52703102.479999997</v>
      </c>
      <c r="W60" s="532">
        <f>S60-R60</f>
        <v>14008620.318000004</v>
      </c>
      <c r="X60" s="338">
        <f>(S60-R60)/R60</f>
        <v>0.50655865309770243</v>
      </c>
      <c r="Y60" s="338">
        <f t="shared" ref="Y60:AA60" si="5">(T60-S60)/S60</f>
        <v>0.10915497683073935</v>
      </c>
      <c r="Z60" s="338">
        <f t="shared" si="5"/>
        <v>7.9331230306529707E-2</v>
      </c>
      <c r="AA60" s="338">
        <f t="shared" si="5"/>
        <v>5.6665518339824444E-2</v>
      </c>
      <c r="AB60" s="338">
        <f>(V60-R60)/R60</f>
        <v>0.90577030430577865</v>
      </c>
      <c r="AC60" s="473"/>
      <c r="AD60" s="83"/>
      <c r="AE60" s="124"/>
      <c r="AF60" s="532"/>
      <c r="AG60" s="458"/>
      <c r="AH60" s="83"/>
      <c r="AI60" s="83"/>
      <c r="AJ60" s="83"/>
      <c r="AK60" s="83"/>
      <c r="AL60" s="83"/>
      <c r="AM60" s="83"/>
      <c r="AN60" s="83"/>
    </row>
    <row r="61" spans="1:40">
      <c r="A61" s="616"/>
      <c r="B61" s="618"/>
      <c r="C61" s="148" t="s">
        <v>51</v>
      </c>
      <c r="D61" s="438">
        <v>3850.4810000000002</v>
      </c>
      <c r="E61" s="438">
        <v>5334.4040000000005</v>
      </c>
      <c r="F61" s="438">
        <v>6666.1289999999999</v>
      </c>
      <c r="G61" s="438">
        <v>7581.82</v>
      </c>
      <c r="H61" s="439">
        <v>8426.7250000000004</v>
      </c>
      <c r="I61" s="467">
        <f>D63/12</f>
        <v>69.424058333333335</v>
      </c>
      <c r="J61" s="467">
        <f t="shared" ref="J61:M61" si="6">E63/12</f>
        <v>133.43608333333333</v>
      </c>
      <c r="K61" s="467">
        <f t="shared" si="6"/>
        <v>177.79191666666668</v>
      </c>
      <c r="L61" s="467">
        <f t="shared" si="6"/>
        <v>200.18375</v>
      </c>
      <c r="M61" s="467">
        <f t="shared" si="6"/>
        <v>181.24775</v>
      </c>
      <c r="N61" s="467"/>
      <c r="O61" s="616"/>
      <c r="P61" s="618"/>
      <c r="Q61" s="148" t="s">
        <v>51</v>
      </c>
      <c r="R61" s="442">
        <v>5341.7979999999998</v>
      </c>
      <c r="S61" s="442">
        <v>8047.732</v>
      </c>
      <c r="T61" s="442">
        <v>8926.1820000000007</v>
      </c>
      <c r="U61" s="442">
        <v>9634.3070000000007</v>
      </c>
      <c r="V61" s="443">
        <v>10180.24</v>
      </c>
      <c r="W61" s="467">
        <f>R63/12</f>
        <v>185.51766666666666</v>
      </c>
      <c r="X61" s="467">
        <f t="shared" ref="X61" si="7">S63/12</f>
        <v>313.3410833333333</v>
      </c>
      <c r="Y61" s="467">
        <f t="shared" ref="Y61" si="8">T63/12</f>
        <v>318.702</v>
      </c>
      <c r="Z61" s="467">
        <f t="shared" ref="Z61" si="9">U63/12</f>
        <v>329.84724999999997</v>
      </c>
      <c r="AA61" s="467">
        <f t="shared" ref="AA61" si="10">V63/12</f>
        <v>303.33391666666665</v>
      </c>
      <c r="AB61" s="467"/>
      <c r="AD61" s="83"/>
      <c r="AE61" s="124"/>
      <c r="AF61" s="532"/>
      <c r="AG61" s="458"/>
      <c r="AH61" s="384"/>
      <c r="AI61" s="83"/>
      <c r="AJ61" s="83"/>
      <c r="AK61" s="83"/>
      <c r="AL61" s="83"/>
      <c r="AM61" s="83"/>
      <c r="AN61" s="83"/>
    </row>
    <row r="62" spans="1:40" ht="30">
      <c r="A62" s="616"/>
      <c r="B62" s="618"/>
      <c r="C62" s="148" t="s">
        <v>52</v>
      </c>
      <c r="D62" s="438">
        <v>6045.9309999999996</v>
      </c>
      <c r="E62" s="440">
        <v>8339.3739999999998</v>
      </c>
      <c r="F62" s="440">
        <v>10421.280000000001</v>
      </c>
      <c r="G62" s="440">
        <v>11818.4</v>
      </c>
      <c r="H62" s="441">
        <v>13368.25</v>
      </c>
      <c r="I62" s="338">
        <f>D63/20160</f>
        <v>4.1323844246031749E-2</v>
      </c>
      <c r="J62" s="338">
        <f t="shared" ref="J62:M62" si="11">E63/20160</f>
        <v>7.9426240079365079E-2</v>
      </c>
      <c r="K62" s="338">
        <f t="shared" si="11"/>
        <v>0.10582852182539683</v>
      </c>
      <c r="L62" s="338">
        <f t="shared" si="11"/>
        <v>0.11915699404761905</v>
      </c>
      <c r="M62" s="338">
        <f t="shared" si="11"/>
        <v>0.10788556547619048</v>
      </c>
      <c r="N62" s="435"/>
      <c r="O62" s="616"/>
      <c r="P62" s="618"/>
      <c r="Q62" s="148" t="s">
        <v>52</v>
      </c>
      <c r="R62" s="438">
        <v>7633.0349999999999</v>
      </c>
      <c r="S62" s="442">
        <v>11667.07</v>
      </c>
      <c r="T62" s="442">
        <v>13406.11</v>
      </c>
      <c r="U62" s="442">
        <v>14866.41</v>
      </c>
      <c r="V62" s="439">
        <v>16211.35</v>
      </c>
      <c r="W62" s="338">
        <f>R63/20160</f>
        <v>0.11042718253968253</v>
      </c>
      <c r="X62" s="338">
        <f t="shared" ref="X62" si="12">S63/20160</f>
        <v>0.18651254960317459</v>
      </c>
      <c r="Y62" s="338">
        <f t="shared" ref="Y62" si="13">T63/20160</f>
        <v>0.18970357142857142</v>
      </c>
      <c r="Z62" s="338">
        <f t="shared" ref="Z62" si="14">U63/20160</f>
        <v>0.19633764880952381</v>
      </c>
      <c r="AA62" s="338">
        <f t="shared" ref="AA62" si="15">V63/20160</f>
        <v>0.18055590277777778</v>
      </c>
      <c r="AB62" s="435"/>
      <c r="AC62" s="144" t="s">
        <v>44</v>
      </c>
      <c r="AD62" s="124" t="s">
        <v>45</v>
      </c>
      <c r="AE62" s="124" t="s">
        <v>46</v>
      </c>
      <c r="AF62" s="124" t="s">
        <v>47</v>
      </c>
      <c r="AG62" s="146" t="s">
        <v>48</v>
      </c>
      <c r="AH62" s="384"/>
      <c r="AI62" s="83"/>
      <c r="AJ62" s="83"/>
      <c r="AK62" s="83"/>
      <c r="AL62" s="83"/>
      <c r="AM62" s="83"/>
      <c r="AN62" s="83"/>
    </row>
    <row r="63" spans="1:40">
      <c r="A63" s="616"/>
      <c r="B63" s="618"/>
      <c r="C63" s="148" t="s">
        <v>53</v>
      </c>
      <c r="D63" s="532">
        <v>833.08870000000002</v>
      </c>
      <c r="E63" s="532">
        <v>1601.2329999999999</v>
      </c>
      <c r="F63" s="532">
        <v>2133.5030000000002</v>
      </c>
      <c r="G63" s="532">
        <v>2402.2049999999999</v>
      </c>
      <c r="H63" s="535">
        <v>2174.973</v>
      </c>
      <c r="I63" s="532"/>
      <c r="J63" s="338"/>
      <c r="K63" s="182"/>
      <c r="L63" s="182"/>
      <c r="M63" s="182"/>
      <c r="N63" s="435"/>
      <c r="O63" s="616"/>
      <c r="P63" s="618"/>
      <c r="Q63" s="148" t="s">
        <v>53</v>
      </c>
      <c r="R63" s="325">
        <v>2226.212</v>
      </c>
      <c r="S63" s="325">
        <v>3760.0929999999998</v>
      </c>
      <c r="T63" s="325">
        <v>3824.424</v>
      </c>
      <c r="U63" s="325">
        <v>3958.1669999999999</v>
      </c>
      <c r="V63" s="326">
        <v>3640.0070000000001</v>
      </c>
      <c r="W63" s="532"/>
      <c r="X63" s="338"/>
      <c r="Y63" s="182"/>
      <c r="Z63" s="182"/>
      <c r="AA63" s="182"/>
      <c r="AB63" s="435"/>
      <c r="AC63" s="473">
        <f>R63/20160</f>
        <v>0.11042718253968253</v>
      </c>
      <c r="AD63" s="473">
        <f>S63/20160</f>
        <v>0.18651254960317459</v>
      </c>
      <c r="AE63" s="473">
        <f>T63/20160</f>
        <v>0.18970357142857142</v>
      </c>
      <c r="AF63" s="473">
        <f>U63/20160</f>
        <v>0.19633764880952381</v>
      </c>
      <c r="AG63" s="473">
        <f>V63/20160</f>
        <v>0.18055590277777778</v>
      </c>
      <c r="AH63" s="384"/>
      <c r="AI63" s="83"/>
      <c r="AJ63" s="83"/>
      <c r="AK63" s="83"/>
      <c r="AL63" s="83"/>
      <c r="AM63" s="83"/>
      <c r="AN63" s="83"/>
    </row>
    <row r="64" spans="1:40" ht="20.100000000000001" customHeight="1">
      <c r="A64" s="616"/>
      <c r="B64" s="618"/>
      <c r="C64" s="148" t="s">
        <v>54</v>
      </c>
      <c r="D64" s="532">
        <v>3260.9389999999999</v>
      </c>
      <c r="E64" s="532">
        <v>5872.71</v>
      </c>
      <c r="F64" s="532">
        <v>7448.7259999999997</v>
      </c>
      <c r="G64" s="532">
        <v>8849.482</v>
      </c>
      <c r="H64" s="535">
        <v>10273.92</v>
      </c>
      <c r="I64" s="467">
        <f>D64/12</f>
        <v>271.74491666666665</v>
      </c>
      <c r="J64" s="467">
        <f t="shared" ref="J64:M64" si="16">E64/12</f>
        <v>489.39249999999998</v>
      </c>
      <c r="K64" s="467">
        <f t="shared" si="16"/>
        <v>620.72716666666668</v>
      </c>
      <c r="L64" s="467">
        <f t="shared" si="16"/>
        <v>737.45683333333329</v>
      </c>
      <c r="M64" s="467">
        <f t="shared" si="16"/>
        <v>856.16</v>
      </c>
      <c r="N64" s="445"/>
      <c r="O64" s="616"/>
      <c r="P64" s="618"/>
      <c r="Q64" s="148" t="s">
        <v>54</v>
      </c>
      <c r="R64" s="532">
        <v>5138.0230000000001</v>
      </c>
      <c r="S64" s="532">
        <v>9079.9789999999994</v>
      </c>
      <c r="T64" s="532">
        <v>10772.75</v>
      </c>
      <c r="U64" s="532">
        <v>11953.9</v>
      </c>
      <c r="V64" s="535">
        <v>13218.21</v>
      </c>
      <c r="W64" s="467">
        <f>R64/12</f>
        <v>428.16858333333334</v>
      </c>
      <c r="X64" s="467">
        <f t="shared" ref="X64" si="17">S64/12</f>
        <v>756.66491666666661</v>
      </c>
      <c r="Y64" s="467">
        <f t="shared" ref="Y64" si="18">T64/12</f>
        <v>897.72916666666663</v>
      </c>
      <c r="Z64" s="467">
        <f t="shared" ref="Z64" si="19">U64/12</f>
        <v>996.1583333333333</v>
      </c>
      <c r="AA64" s="467">
        <f t="shared" ref="AA64" si="20">V64/12</f>
        <v>1101.5174999999999</v>
      </c>
      <c r="AB64" s="445"/>
      <c r="AC64" s="132">
        <f>R63/12</f>
        <v>185.51766666666666</v>
      </c>
      <c r="AD64" s="132">
        <f>S63/12</f>
        <v>313.3410833333333</v>
      </c>
      <c r="AE64" s="132">
        <f>T63/12</f>
        <v>318.702</v>
      </c>
      <c r="AF64" s="132">
        <f>U63/12</f>
        <v>329.84724999999997</v>
      </c>
      <c r="AG64" s="132">
        <f>V63/12</f>
        <v>303.33391666666665</v>
      </c>
      <c r="AH64" s="83"/>
      <c r="AI64" s="83"/>
      <c r="AJ64" s="83"/>
      <c r="AK64" s="83"/>
      <c r="AL64" s="83"/>
      <c r="AM64" s="83"/>
      <c r="AN64" s="83"/>
    </row>
    <row r="65" spans="1:40">
      <c r="A65" s="616"/>
      <c r="B65" s="618"/>
      <c r="C65" s="148" t="s">
        <v>55</v>
      </c>
      <c r="D65" s="322" t="s">
        <v>56</v>
      </c>
      <c r="E65" s="322" t="s">
        <v>57</v>
      </c>
      <c r="F65" s="322" t="s">
        <v>57</v>
      </c>
      <c r="G65" s="322" t="s">
        <v>58</v>
      </c>
      <c r="H65" s="323" t="s">
        <v>59</v>
      </c>
      <c r="I65" s="339">
        <f>D64/20160</f>
        <v>0.16175292658730159</v>
      </c>
      <c r="J65" s="339">
        <f t="shared" ref="J65:M65" si="21">E64/20160</f>
        <v>0.29130505952380953</v>
      </c>
      <c r="K65" s="339">
        <f t="shared" si="21"/>
        <v>0.36948045634920634</v>
      </c>
      <c r="L65" s="339">
        <f t="shared" si="21"/>
        <v>0.43896240079365079</v>
      </c>
      <c r="M65" s="339">
        <f t="shared" si="21"/>
        <v>0.50961904761904764</v>
      </c>
      <c r="N65" s="183"/>
      <c r="O65" s="616"/>
      <c r="P65" s="618"/>
      <c r="Q65" s="148" t="s">
        <v>55</v>
      </c>
      <c r="R65" s="322" t="s">
        <v>60</v>
      </c>
      <c r="S65" s="322" t="s">
        <v>61</v>
      </c>
      <c r="T65" s="322" t="s">
        <v>62</v>
      </c>
      <c r="U65" s="322" t="s">
        <v>63</v>
      </c>
      <c r="V65" s="323" t="s">
        <v>64</v>
      </c>
      <c r="W65" s="339">
        <f>R64/20160</f>
        <v>0.25486225198412699</v>
      </c>
      <c r="X65" s="339">
        <f t="shared" ref="X65" si="22">S64/20160</f>
        <v>0.45039578373015871</v>
      </c>
      <c r="Y65" s="339">
        <f t="shared" ref="Y65" si="23">T64/20160</f>
        <v>0.53436259920634921</v>
      </c>
      <c r="Z65" s="339">
        <f t="shared" ref="Z65" si="24">U64/20160</f>
        <v>0.59295138888888888</v>
      </c>
      <c r="AA65" s="339">
        <f t="shared" ref="AA65" si="25">V64/20160</f>
        <v>0.65566517857142848</v>
      </c>
      <c r="AB65" s="183"/>
      <c r="AD65" s="83"/>
      <c r="AE65" s="83"/>
      <c r="AF65" s="83"/>
      <c r="AG65" s="458"/>
      <c r="AH65" s="83"/>
      <c r="AI65" s="83"/>
      <c r="AJ65" s="83"/>
      <c r="AK65" s="83"/>
      <c r="AL65" s="83"/>
      <c r="AM65" s="83"/>
      <c r="AN65" s="83"/>
    </row>
    <row r="66" spans="1:40" ht="30">
      <c r="A66" s="632"/>
      <c r="B66" s="638"/>
      <c r="C66" s="149" t="s">
        <v>179</v>
      </c>
      <c r="D66" s="150" t="s">
        <v>66</v>
      </c>
      <c r="E66" s="150" t="s">
        <v>57</v>
      </c>
      <c r="F66" s="150" t="s">
        <v>180</v>
      </c>
      <c r="G66" s="150" t="s">
        <v>181</v>
      </c>
      <c r="H66" s="151" t="s">
        <v>182</v>
      </c>
      <c r="I66" s="339"/>
      <c r="J66" s="338"/>
      <c r="K66" s="165"/>
      <c r="L66" s="165"/>
      <c r="M66" s="165"/>
      <c r="N66" s="165"/>
      <c r="O66" s="632"/>
      <c r="P66" s="638"/>
      <c r="Q66" s="149" t="s">
        <v>179</v>
      </c>
      <c r="R66" s="150" t="s">
        <v>66</v>
      </c>
      <c r="S66" s="150" t="s">
        <v>61</v>
      </c>
      <c r="T66" s="150" t="s">
        <v>183</v>
      </c>
      <c r="U66" s="150" t="s">
        <v>184</v>
      </c>
      <c r="V66" s="151" t="s">
        <v>185</v>
      </c>
      <c r="W66" s="165"/>
      <c r="X66" s="165"/>
      <c r="Y66" s="165"/>
      <c r="Z66" s="165"/>
      <c r="AA66" s="165"/>
      <c r="AB66" s="183"/>
      <c r="AC66" s="417">
        <f>R64/20160</f>
        <v>0.25486225198412699</v>
      </c>
      <c r="AD66" s="417">
        <f>S64/20160</f>
        <v>0.45039578373015871</v>
      </c>
      <c r="AE66" s="417">
        <f>T64/20160</f>
        <v>0.53436259920634921</v>
      </c>
      <c r="AF66" s="417">
        <f>U64/20160</f>
        <v>0.59295138888888888</v>
      </c>
      <c r="AG66" s="417">
        <f>V64/20160</f>
        <v>0.65566517857142848</v>
      </c>
      <c r="AH66" s="542"/>
      <c r="AI66" s="542"/>
      <c r="AJ66" s="83"/>
      <c r="AK66" s="83"/>
      <c r="AL66" s="83"/>
      <c r="AM66" s="83"/>
      <c r="AN66" s="83"/>
    </row>
    <row r="67" spans="1:40" ht="15" customHeight="1">
      <c r="A67" s="616" t="s">
        <v>65</v>
      </c>
      <c r="B67" s="618">
        <v>1440</v>
      </c>
      <c r="C67" s="148" t="s">
        <v>50</v>
      </c>
      <c r="D67" s="532">
        <f>D68*1440</f>
        <v>5772454.5599999996</v>
      </c>
      <c r="E67" s="532">
        <f t="shared" ref="E67:G67" si="26">E68*1440</f>
        <v>7496648.6400000006</v>
      </c>
      <c r="F67" s="532">
        <f t="shared" si="26"/>
        <v>9200216.1600000001</v>
      </c>
      <c r="G67" s="532">
        <f t="shared" si="26"/>
        <v>10668777.119999999</v>
      </c>
      <c r="H67" s="629" t="s">
        <v>66</v>
      </c>
      <c r="I67" s="532"/>
      <c r="J67" s="338"/>
      <c r="K67" s="183"/>
      <c r="L67" s="183"/>
      <c r="M67" s="183"/>
      <c r="N67" s="183"/>
      <c r="O67" s="631" t="s">
        <v>65</v>
      </c>
      <c r="P67" s="637">
        <v>6814</v>
      </c>
      <c r="Q67" s="147" t="s">
        <v>50</v>
      </c>
      <c r="R67" s="531">
        <f>R68*6814</f>
        <v>36303888.131999999</v>
      </c>
      <c r="S67" s="531">
        <f t="shared" ref="S67:U67" si="27">S68*6814</f>
        <v>54525198.718000002</v>
      </c>
      <c r="T67" s="531">
        <f t="shared" si="27"/>
        <v>61418983.844000004</v>
      </c>
      <c r="U67" s="531">
        <f t="shared" si="27"/>
        <v>66735171.248000003</v>
      </c>
      <c r="V67" s="628" t="s">
        <v>66</v>
      </c>
      <c r="W67" s="165"/>
      <c r="X67" s="165"/>
      <c r="Y67" s="165"/>
      <c r="Z67" s="165"/>
      <c r="AA67" s="165"/>
      <c r="AB67" s="183"/>
      <c r="AC67" s="132">
        <f>R64/12</f>
        <v>428.16858333333334</v>
      </c>
      <c r="AD67" s="132">
        <f>S64/12</f>
        <v>756.66491666666661</v>
      </c>
      <c r="AE67" s="132">
        <f>T64/12</f>
        <v>897.72916666666663</v>
      </c>
      <c r="AF67" s="132">
        <f>U64/12</f>
        <v>996.1583333333333</v>
      </c>
      <c r="AG67" s="132">
        <f>V64/12</f>
        <v>1101.5174999999999</v>
      </c>
      <c r="AH67" s="458"/>
      <c r="AI67" s="458"/>
      <c r="AJ67" s="83"/>
      <c r="AK67" s="83"/>
      <c r="AL67" s="83"/>
      <c r="AM67" s="83"/>
      <c r="AN67" s="83"/>
    </row>
    <row r="68" spans="1:40">
      <c r="A68" s="616"/>
      <c r="B68" s="618"/>
      <c r="C68" s="148" t="s">
        <v>51</v>
      </c>
      <c r="D68" s="532">
        <v>4008.6489999999999</v>
      </c>
      <c r="E68" s="532">
        <v>5206.0060000000003</v>
      </c>
      <c r="F68" s="532">
        <v>6389.0389999999998</v>
      </c>
      <c r="G68" s="532">
        <v>7408.8729999999996</v>
      </c>
      <c r="H68" s="629"/>
      <c r="I68" s="532"/>
      <c r="J68" s="532">
        <f>H62*6090*83.4%</f>
        <v>67898143.844999999</v>
      </c>
      <c r="O68" s="616"/>
      <c r="P68" s="618"/>
      <c r="Q68" s="148" t="s">
        <v>51</v>
      </c>
      <c r="R68" s="325">
        <v>5327.8379999999997</v>
      </c>
      <c r="S68" s="325">
        <v>8001.9369999999999</v>
      </c>
      <c r="T68" s="325">
        <v>9013.6460000000006</v>
      </c>
      <c r="U68" s="325">
        <v>9793.8320000000003</v>
      </c>
      <c r="V68" s="629"/>
      <c r="W68" s="165"/>
      <c r="X68" s="165"/>
      <c r="Y68" s="165"/>
      <c r="Z68" s="165"/>
      <c r="AA68" s="165"/>
      <c r="AB68" s="183"/>
      <c r="AD68" s="83"/>
      <c r="AE68" s="124"/>
      <c r="AF68" s="198"/>
      <c r="AG68" s="198"/>
      <c r="AH68" s="458"/>
      <c r="AI68" s="458"/>
      <c r="AJ68" s="83"/>
      <c r="AK68" s="83"/>
      <c r="AL68" s="83"/>
      <c r="AM68" s="83"/>
      <c r="AN68" s="83"/>
    </row>
    <row r="69" spans="1:40">
      <c r="A69" s="616"/>
      <c r="B69" s="618"/>
      <c r="C69" s="148" t="s">
        <v>52</v>
      </c>
      <c r="D69" s="532">
        <v>6254.0140000000001</v>
      </c>
      <c r="E69" s="532">
        <v>8113.2560000000003</v>
      </c>
      <c r="F69" s="532">
        <v>9935.4390000000003</v>
      </c>
      <c r="G69" s="532">
        <v>11621.76</v>
      </c>
      <c r="H69" s="629"/>
      <c r="I69" s="532"/>
      <c r="J69" s="532">
        <f>G69*6090</f>
        <v>70776518.400000006</v>
      </c>
      <c r="O69" s="616"/>
      <c r="P69" s="618"/>
      <c r="Q69" s="148" t="s">
        <v>52</v>
      </c>
      <c r="R69" s="376">
        <v>7727.5209999999997</v>
      </c>
      <c r="S69" s="325">
        <v>11758.72</v>
      </c>
      <c r="T69" s="325">
        <v>13737.19</v>
      </c>
      <c r="U69" s="325">
        <v>15149.87</v>
      </c>
      <c r="V69" s="629"/>
      <c r="W69" s="165"/>
      <c r="X69" s="165"/>
      <c r="Y69" s="165"/>
      <c r="Z69" s="165"/>
      <c r="AA69" s="165"/>
      <c r="AB69" s="183"/>
      <c r="AD69" s="83"/>
      <c r="AE69" s="124"/>
      <c r="AF69" s="198"/>
      <c r="AG69" s="198"/>
      <c r="AH69" s="458"/>
      <c r="AI69" s="458"/>
      <c r="AJ69" s="83"/>
      <c r="AK69" s="83"/>
      <c r="AL69" s="83"/>
      <c r="AM69" s="83"/>
      <c r="AN69" s="83"/>
    </row>
    <row r="70" spans="1:40">
      <c r="A70" s="616"/>
      <c r="B70" s="618"/>
      <c r="C70" s="148" t="s">
        <v>53</v>
      </c>
      <c r="D70" s="532">
        <v>995.66399999999999</v>
      </c>
      <c r="E70" s="532">
        <v>1285.1179999999999</v>
      </c>
      <c r="F70" s="532">
        <v>1641.665</v>
      </c>
      <c r="G70" s="532">
        <v>1922.6489999999999</v>
      </c>
      <c r="H70" s="629"/>
      <c r="I70" s="532"/>
      <c r="J70" s="338"/>
      <c r="O70" s="616"/>
      <c r="P70" s="618"/>
      <c r="Q70" s="148" t="s">
        <v>53</v>
      </c>
      <c r="R70" s="325">
        <v>2296.1329999999998</v>
      </c>
      <c r="S70" s="325">
        <v>3674.924</v>
      </c>
      <c r="T70" s="325">
        <v>3932.9789999999998</v>
      </c>
      <c r="U70" s="325">
        <v>4044.4760000000001</v>
      </c>
      <c r="V70" s="629"/>
      <c r="W70" s="165"/>
      <c r="X70" s="165"/>
      <c r="Y70" s="165"/>
      <c r="Z70" s="165"/>
      <c r="AA70" s="165"/>
      <c r="AB70" s="183"/>
      <c r="AD70" s="83"/>
      <c r="AE70" s="124"/>
      <c r="AF70" s="198"/>
      <c r="AG70" s="198"/>
      <c r="AH70" s="458"/>
      <c r="AI70" s="458"/>
      <c r="AJ70" s="83"/>
      <c r="AK70" s="83"/>
      <c r="AL70" s="83"/>
      <c r="AM70" s="83"/>
      <c r="AN70" s="83"/>
    </row>
    <row r="71" spans="1:40" ht="15" customHeight="1">
      <c r="A71" s="616"/>
      <c r="B71" s="618"/>
      <c r="C71" s="148" t="s">
        <v>54</v>
      </c>
      <c r="D71" s="532">
        <v>3822.1669999999999</v>
      </c>
      <c r="E71" s="532">
        <v>5769.7259999999997</v>
      </c>
      <c r="F71" s="532">
        <v>6921.9189999999999</v>
      </c>
      <c r="G71" s="532">
        <v>8267.759</v>
      </c>
      <c r="H71" s="629"/>
      <c r="I71" s="532"/>
      <c r="J71" s="338"/>
      <c r="O71" s="616"/>
      <c r="P71" s="618"/>
      <c r="Q71" s="148" t="s">
        <v>54</v>
      </c>
      <c r="R71" s="532">
        <v>5440.5410000000002</v>
      </c>
      <c r="S71" s="532">
        <v>9542.3590000000004</v>
      </c>
      <c r="T71" s="532">
        <v>11483.23</v>
      </c>
      <c r="U71" s="325">
        <v>12554.68</v>
      </c>
      <c r="V71" s="629"/>
      <c r="W71" s="165"/>
      <c r="X71" s="165"/>
      <c r="Y71" s="165"/>
      <c r="Z71" s="165"/>
      <c r="AA71" s="165"/>
      <c r="AB71" s="183"/>
      <c r="AD71" s="83"/>
      <c r="AE71" s="83"/>
      <c r="AF71" s="83"/>
      <c r="AG71" s="83"/>
      <c r="AH71" s="458"/>
      <c r="AI71" s="458"/>
      <c r="AJ71" s="83"/>
      <c r="AK71" s="83"/>
      <c r="AL71" s="83"/>
      <c r="AM71" s="83"/>
      <c r="AN71" s="83"/>
    </row>
    <row r="72" spans="1:40">
      <c r="A72" s="616"/>
      <c r="B72" s="618"/>
      <c r="C72" s="148" t="s">
        <v>55</v>
      </c>
      <c r="D72" s="152" t="s">
        <v>67</v>
      </c>
      <c r="E72" s="152" t="s">
        <v>68</v>
      </c>
      <c r="F72" s="152" t="s">
        <v>69</v>
      </c>
      <c r="G72" s="152" t="s">
        <v>70</v>
      </c>
      <c r="H72" s="629"/>
      <c r="I72" s="532"/>
      <c r="J72" s="338"/>
      <c r="O72" s="616"/>
      <c r="P72" s="618"/>
      <c r="Q72" s="148" t="s">
        <v>55</v>
      </c>
      <c r="R72" s="375" t="s">
        <v>71</v>
      </c>
      <c r="S72" s="375" t="s">
        <v>72</v>
      </c>
      <c r="T72" s="375" t="s">
        <v>73</v>
      </c>
      <c r="U72" s="375" t="s">
        <v>74</v>
      </c>
      <c r="V72" s="629"/>
      <c r="W72" s="165"/>
      <c r="X72" s="165"/>
      <c r="Y72" s="165"/>
      <c r="Z72" s="165"/>
      <c r="AA72" s="165"/>
      <c r="AB72" s="183"/>
      <c r="AD72" s="83"/>
      <c r="AE72" s="83"/>
      <c r="AF72" s="83"/>
      <c r="AG72" s="83"/>
      <c r="AH72" s="83"/>
      <c r="AI72" s="83"/>
      <c r="AJ72" s="83"/>
    </row>
    <row r="73" spans="1:40" ht="30">
      <c r="A73" s="616"/>
      <c r="B73" s="618"/>
      <c r="C73" s="149" t="s">
        <v>179</v>
      </c>
      <c r="D73" s="152" t="s">
        <v>66</v>
      </c>
      <c r="E73" s="152" t="s">
        <v>68</v>
      </c>
      <c r="F73" s="152" t="s">
        <v>186</v>
      </c>
      <c r="G73" s="152" t="s">
        <v>187</v>
      </c>
      <c r="H73" s="629"/>
      <c r="I73" s="532"/>
      <c r="J73" s="338"/>
      <c r="O73" s="632"/>
      <c r="P73" s="638"/>
      <c r="Q73" s="149" t="s">
        <v>179</v>
      </c>
      <c r="R73" s="327" t="s">
        <v>66</v>
      </c>
      <c r="S73" s="327" t="s">
        <v>72</v>
      </c>
      <c r="T73" s="327" t="s">
        <v>188</v>
      </c>
      <c r="U73" s="327" t="s">
        <v>189</v>
      </c>
      <c r="V73" s="630"/>
      <c r="W73" s="165"/>
      <c r="X73" s="165"/>
      <c r="Y73" s="165"/>
      <c r="Z73" s="165"/>
      <c r="AA73" s="165"/>
      <c r="AB73" s="183"/>
      <c r="AD73" s="83"/>
      <c r="AE73" s="83"/>
      <c r="AF73" s="83"/>
      <c r="AG73" s="83"/>
      <c r="AH73" s="83"/>
      <c r="AI73" s="83"/>
      <c r="AJ73" s="83"/>
    </row>
    <row r="74" spans="1:40" ht="15" customHeight="1">
      <c r="A74" s="631" t="s">
        <v>75</v>
      </c>
      <c r="B74" s="637">
        <v>1881</v>
      </c>
      <c r="C74" s="147" t="s">
        <v>50</v>
      </c>
      <c r="D74" s="531">
        <f>D75*1881</f>
        <v>8857958.1750000007</v>
      </c>
      <c r="E74" s="531">
        <f t="shared" ref="E74:F74" si="28">E75*1881</f>
        <v>11753210.304</v>
      </c>
      <c r="F74" s="531">
        <f t="shared" si="28"/>
        <v>14528717.972999999</v>
      </c>
      <c r="G74" s="620" t="s">
        <v>66</v>
      </c>
      <c r="H74" s="623" t="s">
        <v>66</v>
      </c>
      <c r="I74" s="532">
        <f t="shared" ref="I74:I118" si="29">E74-D74</f>
        <v>2895252.1289999988</v>
      </c>
      <c r="J74" s="338">
        <f t="shared" ref="J74:J118" si="30">(E74-D74)/E74</f>
        <v>0.24633713292909004</v>
      </c>
      <c r="O74" s="631" t="s">
        <v>75</v>
      </c>
      <c r="P74" s="637">
        <v>5365</v>
      </c>
      <c r="Q74" s="147" t="s">
        <v>50</v>
      </c>
      <c r="R74" s="531">
        <f>R75*5365</f>
        <v>32077254.524999999</v>
      </c>
      <c r="S74" s="531">
        <f t="shared" ref="S74:T74" si="31">S75*5365</f>
        <v>47263697.140000001</v>
      </c>
      <c r="T74" s="531">
        <f t="shared" si="31"/>
        <v>52746131.625</v>
      </c>
      <c r="U74" s="620" t="s">
        <v>66</v>
      </c>
      <c r="V74" s="623" t="s">
        <v>66</v>
      </c>
      <c r="W74" s="165"/>
      <c r="X74" s="165"/>
      <c r="Y74" s="165"/>
      <c r="Z74" s="165"/>
      <c r="AA74" s="165"/>
      <c r="AB74" s="183"/>
      <c r="AD74" s="83"/>
      <c r="AE74" s="83"/>
      <c r="AF74" s="83"/>
      <c r="AG74" s="83"/>
      <c r="AH74" s="83"/>
      <c r="AI74" s="83"/>
      <c r="AJ74" s="83"/>
    </row>
    <row r="75" spans="1:40">
      <c r="A75" s="616"/>
      <c r="B75" s="618"/>
      <c r="C75" s="148" t="s">
        <v>51</v>
      </c>
      <c r="D75" s="324">
        <v>4709.1750000000002</v>
      </c>
      <c r="E75" s="532">
        <v>6248.384</v>
      </c>
      <c r="F75" s="532">
        <v>7723.933</v>
      </c>
      <c r="G75" s="621"/>
      <c r="H75" s="624"/>
      <c r="I75" s="532">
        <f t="shared" si="29"/>
        <v>1539.2089999999998</v>
      </c>
      <c r="J75" s="338">
        <f t="shared" si="30"/>
        <v>0.24633713292909012</v>
      </c>
      <c r="O75" s="616"/>
      <c r="P75" s="618"/>
      <c r="Q75" s="148" t="s">
        <v>51</v>
      </c>
      <c r="R75" s="328">
        <v>5978.9849999999997</v>
      </c>
      <c r="S75" s="532">
        <v>8809.6360000000004</v>
      </c>
      <c r="T75" s="532">
        <v>9831.5249999999996</v>
      </c>
      <c r="U75" s="621"/>
      <c r="V75" s="624"/>
      <c r="W75" s="165"/>
      <c r="X75" s="165"/>
      <c r="Y75" s="165"/>
      <c r="Z75" s="165"/>
      <c r="AA75" s="165"/>
      <c r="AB75" s="183"/>
      <c r="AD75" s="144"/>
      <c r="AE75" s="532"/>
      <c r="AF75" s="198">
        <f>(12*3)+5</f>
        <v>41</v>
      </c>
      <c r="AG75" s="465"/>
      <c r="AH75" s="458"/>
      <c r="AI75" s="83"/>
      <c r="AJ75" s="83"/>
    </row>
    <row r="76" spans="1:40">
      <c r="A76" s="616"/>
      <c r="B76" s="618"/>
      <c r="C76" s="148" t="s">
        <v>52</v>
      </c>
      <c r="D76" s="532">
        <v>7024.5510000000004</v>
      </c>
      <c r="E76" s="532">
        <v>8999.3960000000006</v>
      </c>
      <c r="F76" s="532">
        <v>11476.08</v>
      </c>
      <c r="G76" s="621"/>
      <c r="H76" s="624"/>
      <c r="I76" s="532">
        <f t="shared" si="29"/>
        <v>1974.8450000000003</v>
      </c>
      <c r="J76" s="338">
        <f t="shared" si="30"/>
        <v>0.21944194921525845</v>
      </c>
      <c r="O76" s="616"/>
      <c r="P76" s="618"/>
      <c r="Q76" s="148" t="s">
        <v>52</v>
      </c>
      <c r="R76" s="532">
        <v>8417.018</v>
      </c>
      <c r="S76" s="325">
        <v>12254.01</v>
      </c>
      <c r="T76" s="329">
        <v>14490.7</v>
      </c>
      <c r="U76" s="621"/>
      <c r="V76" s="624"/>
      <c r="W76" s="165"/>
      <c r="X76" s="165"/>
      <c r="Y76" s="165"/>
      <c r="Z76" s="165"/>
      <c r="AA76" s="165"/>
      <c r="AB76" s="183"/>
      <c r="AD76" s="124"/>
      <c r="AE76" s="532"/>
      <c r="AF76" s="198">
        <f>60-AF75</f>
        <v>19</v>
      </c>
      <c r="AG76" s="465"/>
      <c r="AH76" s="458"/>
      <c r="AI76" s="83"/>
      <c r="AJ76" s="83"/>
    </row>
    <row r="77" spans="1:40">
      <c r="A77" s="616"/>
      <c r="B77" s="618"/>
      <c r="C77" s="148" t="s">
        <v>53</v>
      </c>
      <c r="D77" s="532">
        <v>1481.835</v>
      </c>
      <c r="E77" s="532">
        <v>2295.5419999999999</v>
      </c>
      <c r="F77" s="532">
        <v>3038.759</v>
      </c>
      <c r="G77" s="621"/>
      <c r="H77" s="624"/>
      <c r="I77" s="532">
        <f t="shared" si="29"/>
        <v>813.70699999999988</v>
      </c>
      <c r="J77" s="338">
        <f t="shared" si="30"/>
        <v>0.35447271276238895</v>
      </c>
      <c r="O77" s="616"/>
      <c r="P77" s="618"/>
      <c r="Q77" s="148" t="s">
        <v>53</v>
      </c>
      <c r="R77" s="329">
        <v>2769.5920000000001</v>
      </c>
      <c r="S77" s="325">
        <v>4678.848</v>
      </c>
      <c r="T77" s="532">
        <v>4842.1400000000003</v>
      </c>
      <c r="U77" s="621"/>
      <c r="V77" s="624"/>
      <c r="W77" s="165"/>
      <c r="X77" s="165"/>
      <c r="Y77" s="165"/>
      <c r="Z77" s="165"/>
      <c r="AA77" s="165"/>
      <c r="AB77" s="183"/>
      <c r="AD77" s="124"/>
      <c r="AE77" s="532"/>
      <c r="AF77" s="198"/>
      <c r="AG77" s="465"/>
      <c r="AH77" s="458"/>
      <c r="AI77" s="83"/>
      <c r="AJ77" s="83"/>
    </row>
    <row r="78" spans="1:40" ht="14.85" customHeight="1">
      <c r="A78" s="616"/>
      <c r="B78" s="618"/>
      <c r="C78" s="148" t="s">
        <v>54</v>
      </c>
      <c r="D78" s="532">
        <v>4482.8249999999998</v>
      </c>
      <c r="E78" s="532">
        <v>6018.8419999999996</v>
      </c>
      <c r="F78" s="532">
        <v>8523.9660000000003</v>
      </c>
      <c r="G78" s="621"/>
      <c r="H78" s="624"/>
      <c r="I78" s="532">
        <f t="shared" si="29"/>
        <v>1536.0169999999998</v>
      </c>
      <c r="J78" s="338">
        <f t="shared" si="30"/>
        <v>0.25520141582051831</v>
      </c>
      <c r="O78" s="616"/>
      <c r="P78" s="618"/>
      <c r="Q78" s="148" t="s">
        <v>54</v>
      </c>
      <c r="R78" s="532">
        <v>5863.8559999999998</v>
      </c>
      <c r="S78" s="532">
        <v>9697.8850000000002</v>
      </c>
      <c r="T78" s="325">
        <v>11886.31</v>
      </c>
      <c r="U78" s="621"/>
      <c r="V78" s="624"/>
      <c r="W78" s="165"/>
      <c r="X78" s="165"/>
      <c r="Y78" s="165"/>
      <c r="Z78" s="165"/>
      <c r="AA78" s="165"/>
      <c r="AB78" s="408"/>
      <c r="AD78" s="124"/>
      <c r="AE78" s="532"/>
      <c r="AF78" s="198"/>
      <c r="AG78" s="465"/>
      <c r="AH78" s="458"/>
      <c r="AI78" s="83"/>
      <c r="AJ78" s="83"/>
    </row>
    <row r="79" spans="1:40">
      <c r="A79" s="616"/>
      <c r="B79" s="618"/>
      <c r="C79" s="148" t="s">
        <v>55</v>
      </c>
      <c r="D79" s="322" t="s">
        <v>76</v>
      </c>
      <c r="E79" s="322" t="s">
        <v>77</v>
      </c>
      <c r="F79" s="322" t="s">
        <v>78</v>
      </c>
      <c r="G79" s="621"/>
      <c r="H79" s="624"/>
      <c r="I79" s="532"/>
      <c r="J79" s="338"/>
      <c r="O79" s="616"/>
      <c r="P79" s="618"/>
      <c r="Q79" s="148" t="s">
        <v>55</v>
      </c>
      <c r="R79" s="532" t="s">
        <v>79</v>
      </c>
      <c r="S79" s="532" t="s">
        <v>80</v>
      </c>
      <c r="T79" s="532" t="s">
        <v>81</v>
      </c>
      <c r="U79" s="621"/>
      <c r="V79" s="624"/>
      <c r="W79" s="165"/>
      <c r="X79" s="165"/>
      <c r="Y79" s="165"/>
      <c r="Z79" s="165"/>
      <c r="AA79" s="165"/>
      <c r="AB79" s="183"/>
      <c r="AD79" s="124"/>
      <c r="AE79" s="532"/>
      <c r="AF79" s="198"/>
      <c r="AG79" s="465"/>
      <c r="AH79" s="458"/>
      <c r="AI79" s="83"/>
      <c r="AJ79" s="83"/>
    </row>
    <row r="80" spans="1:40" ht="30">
      <c r="A80" s="632"/>
      <c r="B80" s="638"/>
      <c r="C80" s="149" t="s">
        <v>179</v>
      </c>
      <c r="D80" s="150" t="s">
        <v>66</v>
      </c>
      <c r="E80" s="322" t="s">
        <v>77</v>
      </c>
      <c r="F80" s="150" t="s">
        <v>190</v>
      </c>
      <c r="G80" s="635"/>
      <c r="H80" s="636"/>
      <c r="I80" s="532"/>
      <c r="J80" s="338"/>
      <c r="O80" s="632"/>
      <c r="P80" s="638"/>
      <c r="Q80" s="149" t="s">
        <v>179</v>
      </c>
      <c r="R80" s="537" t="s">
        <v>66</v>
      </c>
      <c r="S80" s="537" t="s">
        <v>80</v>
      </c>
      <c r="T80" s="537" t="s">
        <v>191</v>
      </c>
      <c r="U80" s="635"/>
      <c r="V80" s="636"/>
      <c r="W80" s="165"/>
      <c r="X80" s="165"/>
      <c r="Y80" s="165"/>
      <c r="Z80" s="165"/>
      <c r="AA80" s="165"/>
      <c r="AB80" s="183"/>
      <c r="AD80" s="83"/>
      <c r="AE80" s="83"/>
      <c r="AF80" s="532"/>
      <c r="AG80" s="465"/>
      <c r="AH80" s="458"/>
      <c r="AI80" s="83"/>
      <c r="AJ80" s="83"/>
    </row>
    <row r="81" spans="1:36" ht="15" customHeight="1">
      <c r="A81" s="631" t="s">
        <v>82</v>
      </c>
      <c r="B81" s="637">
        <v>1695</v>
      </c>
      <c r="C81" s="147" t="s">
        <v>50</v>
      </c>
      <c r="D81" s="154">
        <f>D82*1695</f>
        <v>9293347.6950000003</v>
      </c>
      <c r="E81" s="154">
        <f>E82*1695</f>
        <v>11728608.435000001</v>
      </c>
      <c r="F81" s="620" t="s">
        <v>66</v>
      </c>
      <c r="G81" s="620" t="s">
        <v>66</v>
      </c>
      <c r="H81" s="623" t="s">
        <v>66</v>
      </c>
      <c r="I81" s="532">
        <f t="shared" si="29"/>
        <v>2435260.7400000002</v>
      </c>
      <c r="J81" s="338">
        <f t="shared" si="30"/>
        <v>0.20763424352481591</v>
      </c>
      <c r="O81" s="616" t="s">
        <v>82</v>
      </c>
      <c r="P81" s="618">
        <v>5149</v>
      </c>
      <c r="Q81" s="148" t="s">
        <v>50</v>
      </c>
      <c r="R81" s="532">
        <f>R82*5149</f>
        <v>34063719.251000002</v>
      </c>
      <c r="S81" s="532">
        <f>S82*5149</f>
        <v>65701342.980000004</v>
      </c>
      <c r="T81" s="621" t="s">
        <v>66</v>
      </c>
      <c r="U81" s="621" t="s">
        <v>66</v>
      </c>
      <c r="V81" s="624" t="s">
        <v>66</v>
      </c>
      <c r="W81" s="165"/>
      <c r="X81" s="165"/>
      <c r="Y81" s="165"/>
      <c r="Z81" s="165"/>
      <c r="AA81" s="165"/>
      <c r="AB81" s="183"/>
      <c r="AD81" s="83"/>
      <c r="AE81" s="83"/>
      <c r="AF81" s="325"/>
      <c r="AG81" s="465"/>
      <c r="AH81" s="458"/>
      <c r="AI81" s="83"/>
      <c r="AJ81" s="83"/>
    </row>
    <row r="82" spans="1:36">
      <c r="A82" s="616"/>
      <c r="B82" s="618"/>
      <c r="C82" s="148" t="s">
        <v>51</v>
      </c>
      <c r="D82" s="532">
        <v>5482.8010000000004</v>
      </c>
      <c r="E82" s="532">
        <v>6919.5330000000004</v>
      </c>
      <c r="F82" s="621"/>
      <c r="G82" s="621"/>
      <c r="H82" s="624"/>
      <c r="I82" s="532">
        <f t="shared" si="29"/>
        <v>1436.732</v>
      </c>
      <c r="J82" s="338">
        <f t="shared" si="30"/>
        <v>0.20763424352481588</v>
      </c>
      <c r="O82" s="616"/>
      <c r="P82" s="618"/>
      <c r="Q82" s="148" t="s">
        <v>51</v>
      </c>
      <c r="R82" s="532">
        <v>6615.5990000000002</v>
      </c>
      <c r="S82" s="532">
        <v>12760.02</v>
      </c>
      <c r="T82" s="621"/>
      <c r="U82" s="621"/>
      <c r="V82" s="624"/>
      <c r="W82" s="165"/>
      <c r="X82" s="165"/>
      <c r="Y82" s="165"/>
      <c r="Z82" s="165"/>
      <c r="AA82" s="165"/>
      <c r="AB82" s="183"/>
      <c r="AD82" s="83"/>
      <c r="AE82" s="83"/>
      <c r="AF82" s="325"/>
      <c r="AG82" s="465"/>
      <c r="AH82" s="458"/>
      <c r="AI82" s="83"/>
      <c r="AJ82" s="83"/>
    </row>
    <row r="83" spans="1:36">
      <c r="A83" s="616"/>
      <c r="B83" s="618"/>
      <c r="C83" s="148" t="s">
        <v>52</v>
      </c>
      <c r="D83" s="325">
        <v>7699.5429999999997</v>
      </c>
      <c r="E83" s="325">
        <v>9496.848</v>
      </c>
      <c r="F83" s="621"/>
      <c r="G83" s="621"/>
      <c r="H83" s="624"/>
      <c r="I83" s="532">
        <f t="shared" si="29"/>
        <v>1797.3050000000003</v>
      </c>
      <c r="J83" s="338">
        <f t="shared" si="30"/>
        <v>0.18925279208427895</v>
      </c>
      <c r="O83" s="616"/>
      <c r="P83" s="618"/>
      <c r="Q83" s="148" t="s">
        <v>52</v>
      </c>
      <c r="R83" s="532">
        <v>8772.5259999999998</v>
      </c>
      <c r="S83" s="532">
        <v>6392.4070000000002</v>
      </c>
      <c r="T83" s="621"/>
      <c r="U83" s="621"/>
      <c r="V83" s="624"/>
      <c r="W83" s="165">
        <f t="shared" ref="W83:W108" si="32">S93-R93</f>
        <v>14008620.318000004</v>
      </c>
      <c r="X83" s="165"/>
      <c r="Y83" s="165"/>
      <c r="Z83" s="165"/>
      <c r="AA83" s="165"/>
      <c r="AB83" s="183">
        <f>(S93-R93)/R93</f>
        <v>0.50655865309770243</v>
      </c>
      <c r="AD83" s="83"/>
      <c r="AE83" s="83"/>
      <c r="AF83" s="325"/>
      <c r="AG83" s="465"/>
      <c r="AH83" s="458"/>
      <c r="AI83" s="83"/>
      <c r="AJ83" s="83"/>
    </row>
    <row r="84" spans="1:36">
      <c r="A84" s="616"/>
      <c r="B84" s="618"/>
      <c r="C84" s="148" t="s">
        <v>53</v>
      </c>
      <c r="D84" s="325">
        <v>2065.7359999999999</v>
      </c>
      <c r="E84" s="532">
        <v>3358.0970000000002</v>
      </c>
      <c r="F84" s="621"/>
      <c r="G84" s="621"/>
      <c r="H84" s="624"/>
      <c r="I84" s="532">
        <f t="shared" si="29"/>
        <v>1292.3610000000003</v>
      </c>
      <c r="J84" s="338">
        <f t="shared" si="30"/>
        <v>0.38484921668433053</v>
      </c>
      <c r="O84" s="616"/>
      <c r="P84" s="618"/>
      <c r="Q84" s="148" t="s">
        <v>53</v>
      </c>
      <c r="R84" s="532">
        <v>3696.2280000000001</v>
      </c>
      <c r="S84" s="532">
        <v>5569.74</v>
      </c>
      <c r="T84" s="621"/>
      <c r="U84" s="621"/>
      <c r="V84" s="624"/>
      <c r="W84" s="165">
        <f t="shared" si="32"/>
        <v>2705.9340000000002</v>
      </c>
      <c r="X84" s="165"/>
      <c r="Y84" s="165"/>
      <c r="Z84" s="165"/>
      <c r="AA84" s="165"/>
      <c r="AB84" s="183">
        <f>(S94-R94)/R94</f>
        <v>0.50655865309770232</v>
      </c>
      <c r="AD84" s="83"/>
      <c r="AE84" s="83"/>
      <c r="AF84" s="532"/>
      <c r="AG84" s="465"/>
      <c r="AH84" s="458"/>
      <c r="AI84" s="83"/>
      <c r="AJ84" s="83"/>
    </row>
    <row r="85" spans="1:36" ht="17.100000000000001" customHeight="1">
      <c r="A85" s="616"/>
      <c r="B85" s="618"/>
      <c r="C85" s="148" t="s">
        <v>54</v>
      </c>
      <c r="D85" s="532">
        <v>5064.72</v>
      </c>
      <c r="E85" s="325">
        <v>6790.4059999999999</v>
      </c>
      <c r="F85" s="621"/>
      <c r="G85" s="621"/>
      <c r="H85" s="624"/>
      <c r="I85" s="532">
        <f t="shared" si="29"/>
        <v>1725.6859999999997</v>
      </c>
      <c r="J85" s="338">
        <f t="shared" si="30"/>
        <v>0.25413590881016535</v>
      </c>
      <c r="O85" s="616"/>
      <c r="P85" s="618"/>
      <c r="Q85" s="148" t="s">
        <v>54</v>
      </c>
      <c r="R85" s="532">
        <v>6392.4070000000002</v>
      </c>
      <c r="S85" s="532">
        <v>10249.379999999999</v>
      </c>
      <c r="T85" s="621"/>
      <c r="U85" s="621"/>
      <c r="V85" s="624"/>
      <c r="W85" s="165">
        <f t="shared" si="32"/>
        <v>4034.0349999999999</v>
      </c>
      <c r="X85" s="165"/>
      <c r="Y85" s="165"/>
      <c r="Z85" s="165"/>
      <c r="AA85" s="165"/>
      <c r="AB85" s="183">
        <f>(S95-R95)/R95</f>
        <v>0.52849685609983443</v>
      </c>
      <c r="AD85" s="83"/>
      <c r="AE85" s="83"/>
      <c r="AF85" s="83"/>
      <c r="AG85" s="465"/>
      <c r="AH85" s="458"/>
      <c r="AI85" s="83"/>
      <c r="AJ85" s="83"/>
    </row>
    <row r="86" spans="1:36">
      <c r="A86" s="616"/>
      <c r="B86" s="618"/>
      <c r="C86" s="148" t="s">
        <v>55</v>
      </c>
      <c r="D86" s="330" t="s">
        <v>83</v>
      </c>
      <c r="E86" s="330" t="s">
        <v>84</v>
      </c>
      <c r="F86" s="621"/>
      <c r="G86" s="621"/>
      <c r="H86" s="624"/>
      <c r="I86" s="532"/>
      <c r="J86" s="338"/>
      <c r="O86" s="616"/>
      <c r="P86" s="618"/>
      <c r="Q86" s="148" t="s">
        <v>55</v>
      </c>
      <c r="R86" s="334" t="s">
        <v>85</v>
      </c>
      <c r="S86" s="330" t="s">
        <v>86</v>
      </c>
      <c r="T86" s="621"/>
      <c r="U86" s="621"/>
      <c r="V86" s="624"/>
      <c r="W86" s="165">
        <f t="shared" si="32"/>
        <v>1533.8809999999999</v>
      </c>
      <c r="X86" s="165"/>
      <c r="Y86" s="165"/>
      <c r="Z86" s="165"/>
      <c r="AA86" s="165"/>
      <c r="AB86" s="183">
        <f>(S96-R96)/R96</f>
        <v>0.68900940251871778</v>
      </c>
      <c r="AD86" s="83"/>
      <c r="AE86" s="83"/>
      <c r="AF86" s="83"/>
      <c r="AG86" s="83"/>
      <c r="AH86" s="83"/>
      <c r="AI86" s="83"/>
      <c r="AJ86" s="83"/>
    </row>
    <row r="87" spans="1:36" ht="30.75" thickBot="1">
      <c r="A87" s="617"/>
      <c r="B87" s="619"/>
      <c r="C87" s="156" t="s">
        <v>179</v>
      </c>
      <c r="D87" s="157" t="s">
        <v>66</v>
      </c>
      <c r="E87" s="157" t="s">
        <v>84</v>
      </c>
      <c r="F87" s="622"/>
      <c r="G87" s="622"/>
      <c r="H87" s="625"/>
      <c r="I87" s="532"/>
      <c r="J87" s="338"/>
      <c r="O87" s="617"/>
      <c r="P87" s="619"/>
      <c r="Q87" s="156" t="s">
        <v>179</v>
      </c>
      <c r="R87" s="157" t="s">
        <v>66</v>
      </c>
      <c r="S87" s="157" t="s">
        <v>86</v>
      </c>
      <c r="T87" s="622"/>
      <c r="U87" s="622"/>
      <c r="V87" s="625"/>
      <c r="W87" s="165">
        <f t="shared" si="32"/>
        <v>3941.9559999999992</v>
      </c>
      <c r="X87" s="165"/>
      <c r="Y87" s="165"/>
      <c r="Z87" s="165"/>
      <c r="AA87" s="165"/>
      <c r="AB87" s="183">
        <f>(S97-R97)/R97</f>
        <v>0.76721260297978411</v>
      </c>
    </row>
    <row r="88" spans="1:36" ht="30">
      <c r="A88" s="541"/>
      <c r="B88" s="530"/>
      <c r="C88" s="148"/>
      <c r="D88" s="330"/>
      <c r="E88" s="330"/>
      <c r="F88" s="532"/>
      <c r="G88" s="532"/>
      <c r="H88" s="532"/>
      <c r="I88" s="532"/>
      <c r="J88" s="338"/>
      <c r="O88" s="541"/>
      <c r="P88" s="530"/>
      <c r="Q88" s="148"/>
      <c r="R88" s="330"/>
      <c r="S88" s="330"/>
      <c r="T88" s="532"/>
      <c r="U88" s="532"/>
      <c r="V88" s="532"/>
      <c r="W88" s="165"/>
      <c r="X88" s="165"/>
      <c r="Y88" s="165"/>
      <c r="Z88" s="165"/>
      <c r="AA88" s="165"/>
      <c r="AB88" s="183"/>
      <c r="AD88" s="144" t="s">
        <v>44</v>
      </c>
      <c r="AE88" s="534">
        <v>4135416.594</v>
      </c>
      <c r="AF88" s="534">
        <v>3850.4810000000002</v>
      </c>
      <c r="AG88">
        <v>6045.9309999999996</v>
      </c>
    </row>
    <row r="89" spans="1:36" ht="15.75" thickBot="1">
      <c r="A89" s="158"/>
      <c r="B89" s="158"/>
      <c r="G89" s="155"/>
      <c r="H89" s="155"/>
      <c r="I89" s="532"/>
      <c r="J89" s="338"/>
      <c r="O89" s="158"/>
      <c r="U89" s="155"/>
      <c r="V89" s="155"/>
      <c r="W89" s="165"/>
      <c r="X89" s="165"/>
      <c r="Y89" s="165"/>
      <c r="Z89" s="165"/>
      <c r="AA89" s="165"/>
      <c r="AB89" s="183"/>
      <c r="AD89" s="124" t="s">
        <v>45</v>
      </c>
      <c r="AE89" s="534">
        <v>5729149.8960000006</v>
      </c>
      <c r="AF89" s="534">
        <v>5334.4040000000005</v>
      </c>
      <c r="AG89">
        <v>8339.3739999999998</v>
      </c>
    </row>
    <row r="90" spans="1:36">
      <c r="A90" s="642" t="s">
        <v>110</v>
      </c>
      <c r="B90" s="643"/>
      <c r="C90" s="643"/>
      <c r="D90" s="643"/>
      <c r="E90" s="643"/>
      <c r="F90" s="643"/>
      <c r="G90" s="643"/>
      <c r="H90" s="644"/>
      <c r="I90" s="532"/>
      <c r="J90" s="338"/>
      <c r="O90" s="642" t="s">
        <v>111</v>
      </c>
      <c r="P90" s="643"/>
      <c r="Q90" s="643"/>
      <c r="R90" s="643"/>
      <c r="S90" s="643"/>
      <c r="T90" s="643"/>
      <c r="U90" s="643"/>
      <c r="V90" s="644"/>
      <c r="W90" s="165">
        <f t="shared" si="32"/>
        <v>32229937.404000007</v>
      </c>
      <c r="X90" s="165"/>
      <c r="Y90" s="165"/>
      <c r="Z90" s="165"/>
      <c r="AA90" s="165"/>
      <c r="AB90" s="183">
        <f>(S100-R100)/R100</f>
        <v>0.50392051542361882</v>
      </c>
      <c r="AD90" s="124" t="s">
        <v>46</v>
      </c>
      <c r="AE90" s="534">
        <v>7159422.5460000001</v>
      </c>
      <c r="AF90" s="534">
        <v>6666.1289999999999</v>
      </c>
      <c r="AG90">
        <v>10421.280000000001</v>
      </c>
    </row>
    <row r="91" spans="1:36" ht="15.75" thickBot="1">
      <c r="A91" s="639" t="s">
        <v>109</v>
      </c>
      <c r="B91" s="640"/>
      <c r="C91" s="640"/>
      <c r="D91" s="640"/>
      <c r="E91" s="640"/>
      <c r="F91" s="640"/>
      <c r="G91" s="640"/>
      <c r="H91" s="641"/>
      <c r="I91" s="532"/>
      <c r="J91" s="338"/>
      <c r="O91" s="639" t="s">
        <v>109</v>
      </c>
      <c r="P91" s="640"/>
      <c r="Q91" s="640"/>
      <c r="R91" s="640"/>
      <c r="S91" s="640"/>
      <c r="T91" s="640"/>
      <c r="U91" s="640"/>
      <c r="V91" s="641"/>
      <c r="W91" s="165">
        <f t="shared" si="32"/>
        <v>2687.8440000000001</v>
      </c>
      <c r="X91" s="165"/>
      <c r="Y91" s="165"/>
      <c r="Z91" s="165"/>
      <c r="AA91" s="165"/>
      <c r="AB91" s="183">
        <f>(S101-R101)/R101</f>
        <v>0.50392051542361871</v>
      </c>
      <c r="AD91" s="124" t="s">
        <v>47</v>
      </c>
      <c r="AE91" s="534">
        <v>8142874.6799999997</v>
      </c>
      <c r="AF91" s="534">
        <v>7581.82</v>
      </c>
      <c r="AG91">
        <v>11818.4</v>
      </c>
    </row>
    <row r="92" spans="1:36" ht="45">
      <c r="A92" s="144" t="s">
        <v>41</v>
      </c>
      <c r="B92" s="144" t="s">
        <v>42</v>
      </c>
      <c r="C92" s="378" t="s">
        <v>43</v>
      </c>
      <c r="D92" s="379" t="s">
        <v>44</v>
      </c>
      <c r="E92" s="380" t="s">
        <v>45</v>
      </c>
      <c r="F92" s="380" t="s">
        <v>46</v>
      </c>
      <c r="G92" s="380" t="s">
        <v>47</v>
      </c>
      <c r="H92" s="381" t="s">
        <v>48</v>
      </c>
      <c r="I92" s="532"/>
      <c r="J92" s="338"/>
      <c r="K92" s="181">
        <f>J93</f>
        <v>0.27817971792162732</v>
      </c>
      <c r="L92" s="181"/>
      <c r="M92" s="181"/>
      <c r="N92" s="181"/>
      <c r="O92" s="160" t="s">
        <v>41</v>
      </c>
      <c r="P92" s="161" t="s">
        <v>42</v>
      </c>
      <c r="Q92" s="162" t="s">
        <v>43</v>
      </c>
      <c r="R92" s="161" t="s">
        <v>44</v>
      </c>
      <c r="S92" s="163" t="s">
        <v>45</v>
      </c>
      <c r="T92" s="163" t="s">
        <v>46</v>
      </c>
      <c r="U92" s="163" t="s">
        <v>47</v>
      </c>
      <c r="V92" s="164" t="s">
        <v>48</v>
      </c>
      <c r="W92" s="165">
        <f t="shared" si="32"/>
        <v>4032.4690000000001</v>
      </c>
      <c r="X92" s="165"/>
      <c r="Y92" s="165"/>
      <c r="Z92" s="165"/>
      <c r="AA92" s="165"/>
      <c r="AB92" s="183">
        <f>(S102-R102)/R102</f>
        <v>0.5246251779608635</v>
      </c>
      <c r="AC92" s="181">
        <f>AB83</f>
        <v>0.50655865309770243</v>
      </c>
      <c r="AD92" s="146" t="s">
        <v>48</v>
      </c>
      <c r="AE92" s="534">
        <v>9050302.6500000004</v>
      </c>
      <c r="AF92" s="534">
        <v>8426.7250000000004</v>
      </c>
      <c r="AG92">
        <v>13368.25</v>
      </c>
    </row>
    <row r="93" spans="1:36" ht="14.25" customHeight="1">
      <c r="A93" s="651" t="s">
        <v>49</v>
      </c>
      <c r="B93" s="637">
        <v>1074</v>
      </c>
      <c r="C93" s="147" t="s">
        <v>50</v>
      </c>
      <c r="D93" s="531">
        <f>D94*1074</f>
        <v>4135416.594</v>
      </c>
      <c r="E93" s="531">
        <f t="shared" ref="E93:H93" si="33">E94*1074</f>
        <v>5729149.8960000006</v>
      </c>
      <c r="F93" s="531">
        <f t="shared" si="33"/>
        <v>7159422.5460000001</v>
      </c>
      <c r="G93" s="531">
        <f t="shared" si="33"/>
        <v>8142874.6799999997</v>
      </c>
      <c r="H93" s="534">
        <f t="shared" si="33"/>
        <v>9050302.6500000004</v>
      </c>
      <c r="I93" s="532">
        <f t="shared" si="29"/>
        <v>1593733.3020000006</v>
      </c>
      <c r="J93" s="338">
        <f t="shared" si="30"/>
        <v>0.27817971792162732</v>
      </c>
      <c r="K93" s="338">
        <f>(F93-E93)/E93</f>
        <v>0.24964832059963948</v>
      </c>
      <c r="L93" s="338"/>
      <c r="M93" s="338"/>
      <c r="N93" s="338"/>
      <c r="O93" s="631" t="s">
        <v>49</v>
      </c>
      <c r="P93" s="637">
        <v>5177</v>
      </c>
      <c r="Q93" s="147" t="s">
        <v>50</v>
      </c>
      <c r="R93" s="531">
        <f>R94*5177</f>
        <v>27654488.245999999</v>
      </c>
      <c r="S93" s="531">
        <f t="shared" ref="S93:V93" si="34">S94*5177</f>
        <v>41663108.564000003</v>
      </c>
      <c r="T93" s="531">
        <f t="shared" si="34"/>
        <v>46210844.214000002</v>
      </c>
      <c r="U93" s="531">
        <f t="shared" si="34"/>
        <v>49876807.339000002</v>
      </c>
      <c r="V93" s="534">
        <f t="shared" si="34"/>
        <v>52703102.479999997</v>
      </c>
      <c r="W93" s="165">
        <f t="shared" si="32"/>
        <v>1455.3780000000002</v>
      </c>
      <c r="X93" s="165"/>
      <c r="Y93" s="165"/>
      <c r="Z93" s="165"/>
      <c r="AA93" s="165"/>
      <c r="AB93" s="183">
        <f>(S103-R103)/R103</f>
        <v>0.64436289061825514</v>
      </c>
      <c r="AC93" s="473">
        <f>(T93-S93)/S93</f>
        <v>0.10915497683073935</v>
      </c>
      <c r="AD93" s="146"/>
    </row>
    <row r="94" spans="1:36">
      <c r="A94" s="650"/>
      <c r="B94" s="618"/>
      <c r="C94" s="148" t="s">
        <v>51</v>
      </c>
      <c r="D94" s="532">
        <v>3850.4810000000002</v>
      </c>
      <c r="E94" s="532">
        <v>5334.4040000000005</v>
      </c>
      <c r="F94" s="532">
        <v>6666.1289999999999</v>
      </c>
      <c r="G94" s="532">
        <v>7581.82</v>
      </c>
      <c r="H94" s="535">
        <v>8426.7250000000004</v>
      </c>
      <c r="I94" s="532">
        <f t="shared" si="29"/>
        <v>1483.9230000000002</v>
      </c>
      <c r="J94" s="338">
        <f t="shared" si="30"/>
        <v>0.27817971792162727</v>
      </c>
      <c r="K94" s="338">
        <f>(G93-F93)/F93</f>
        <v>0.13736472846535067</v>
      </c>
      <c r="L94" s="532">
        <f>E94/12</f>
        <v>444.5336666666667</v>
      </c>
      <c r="M94" s="338"/>
      <c r="N94" s="338"/>
      <c r="O94" s="616"/>
      <c r="P94" s="618"/>
      <c r="Q94" s="148" t="s">
        <v>51</v>
      </c>
      <c r="R94" s="325">
        <v>5341.7979999999998</v>
      </c>
      <c r="S94" s="325">
        <v>8047.732</v>
      </c>
      <c r="T94" s="325">
        <v>8926.1820000000007</v>
      </c>
      <c r="U94" s="325">
        <v>9634.3070000000007</v>
      </c>
      <c r="V94" s="326">
        <v>10180.24</v>
      </c>
      <c r="W94" s="165">
        <f t="shared" si="32"/>
        <v>4002.2089999999998</v>
      </c>
      <c r="X94" s="165"/>
      <c r="Y94" s="165"/>
      <c r="Z94" s="165"/>
      <c r="AA94" s="165"/>
      <c r="AB94" s="183">
        <f>(S104-R104)/R104</f>
        <v>0.75384796498048612</v>
      </c>
      <c r="AC94" s="473">
        <f>(U93-T93)/T93</f>
        <v>7.9331230306529707E-2</v>
      </c>
    </row>
    <row r="95" spans="1:36">
      <c r="A95" s="650"/>
      <c r="B95" s="618"/>
      <c r="C95" s="148" t="s">
        <v>52</v>
      </c>
      <c r="D95" s="532">
        <v>6045.9309999999996</v>
      </c>
      <c r="E95" s="322">
        <v>8339.3739999999998</v>
      </c>
      <c r="F95" s="322">
        <v>10421.280000000001</v>
      </c>
      <c r="G95" s="322">
        <v>11818.4</v>
      </c>
      <c r="H95" s="323">
        <v>13368.25</v>
      </c>
      <c r="I95" s="532">
        <f t="shared" si="29"/>
        <v>2293.4430000000002</v>
      </c>
      <c r="J95" s="338">
        <f t="shared" si="30"/>
        <v>0.27501380799086361</v>
      </c>
      <c r="K95" s="338">
        <f>(H93-G93)/G93</f>
        <v>0.11143828262870929</v>
      </c>
      <c r="L95" s="338"/>
      <c r="M95" s="338"/>
      <c r="N95" s="338"/>
      <c r="O95" s="616"/>
      <c r="P95" s="618"/>
      <c r="Q95" s="148" t="s">
        <v>52</v>
      </c>
      <c r="R95" s="532">
        <v>7633.0349999999999</v>
      </c>
      <c r="S95" s="325">
        <v>11667.07</v>
      </c>
      <c r="T95" s="325">
        <v>13406.11</v>
      </c>
      <c r="U95" s="325">
        <v>14866.41</v>
      </c>
      <c r="V95" s="535">
        <v>16211.35</v>
      </c>
      <c r="W95" s="165"/>
      <c r="X95" s="165"/>
      <c r="Y95" s="165"/>
      <c r="Z95" s="165"/>
      <c r="AA95" s="165"/>
      <c r="AB95" s="183"/>
      <c r="AC95" s="473">
        <f>(V93-U93)/U93</f>
        <v>5.6665518339824444E-2</v>
      </c>
    </row>
    <row r="96" spans="1:36">
      <c r="A96" s="650"/>
      <c r="B96" s="618"/>
      <c r="C96" s="148" t="s">
        <v>53</v>
      </c>
      <c r="D96" s="532">
        <v>833.08870000000002</v>
      </c>
      <c r="E96" s="532">
        <v>1601.2329999999999</v>
      </c>
      <c r="F96" s="532">
        <v>2133.5030000000002</v>
      </c>
      <c r="G96" s="532">
        <v>2402.2049999999999</v>
      </c>
      <c r="H96" s="535">
        <v>2174.973</v>
      </c>
      <c r="I96" s="532">
        <f t="shared" si="29"/>
        <v>768.14429999999993</v>
      </c>
      <c r="J96" s="338">
        <f t="shared" si="30"/>
        <v>0.47972050288746232</v>
      </c>
      <c r="K96" s="338"/>
      <c r="L96" s="338"/>
      <c r="M96" s="338"/>
      <c r="N96" s="338"/>
      <c r="O96" s="616"/>
      <c r="P96" s="618"/>
      <c r="Q96" s="148" t="s">
        <v>53</v>
      </c>
      <c r="R96" s="325">
        <v>2226.212</v>
      </c>
      <c r="S96" s="325">
        <v>3760.0929999999998</v>
      </c>
      <c r="T96" s="325">
        <v>3824.424</v>
      </c>
      <c r="U96" s="325">
        <v>3958.1669999999999</v>
      </c>
      <c r="V96" s="326">
        <v>3640.0070000000001</v>
      </c>
      <c r="W96" s="165"/>
      <c r="X96" s="165"/>
      <c r="Y96" s="165"/>
      <c r="Z96" s="165"/>
      <c r="AA96" s="165"/>
      <c r="AB96" s="183"/>
      <c r="AC96" s="473"/>
    </row>
    <row r="97" spans="1:29" ht="15" customHeight="1">
      <c r="A97" s="650"/>
      <c r="B97" s="618"/>
      <c r="C97" s="148" t="s">
        <v>54</v>
      </c>
      <c r="D97" s="532">
        <v>3260.9389999999999</v>
      </c>
      <c r="E97" s="532">
        <v>5872.71</v>
      </c>
      <c r="F97" s="532">
        <v>7448.7259999999997</v>
      </c>
      <c r="G97" s="532">
        <v>8849.482</v>
      </c>
      <c r="H97" s="535">
        <v>10273.92</v>
      </c>
      <c r="I97" s="532">
        <f t="shared" si="29"/>
        <v>2611.7710000000002</v>
      </c>
      <c r="J97" s="338">
        <f t="shared" si="30"/>
        <v>0.44473011607928881</v>
      </c>
      <c r="K97" s="338">
        <f>(H93-D93)/D93</f>
        <v>1.1884863215790442</v>
      </c>
      <c r="L97" s="338"/>
      <c r="M97" s="338"/>
      <c r="N97" s="338"/>
      <c r="O97" s="616"/>
      <c r="P97" s="618"/>
      <c r="Q97" s="148" t="s">
        <v>54</v>
      </c>
      <c r="R97" s="532">
        <v>5138.0230000000001</v>
      </c>
      <c r="S97" s="532">
        <v>9079.9789999999994</v>
      </c>
      <c r="T97" s="532">
        <v>10772.75</v>
      </c>
      <c r="U97" s="532">
        <v>11953.9</v>
      </c>
      <c r="V97" s="535">
        <v>13218.21</v>
      </c>
      <c r="W97" s="165">
        <f t="shared" si="32"/>
        <v>47416383.728</v>
      </c>
      <c r="X97" s="165"/>
      <c r="Y97" s="165"/>
      <c r="Z97" s="165"/>
      <c r="AA97" s="165"/>
      <c r="AB97" s="183">
        <f>(S107-R107)/R107</f>
        <v>0.49373744076977116</v>
      </c>
      <c r="AC97" s="409">
        <f>(V93-R93)/R93</f>
        <v>0.90577030430577865</v>
      </c>
    </row>
    <row r="98" spans="1:29">
      <c r="A98" s="650"/>
      <c r="B98" s="618"/>
      <c r="C98" s="148" t="s">
        <v>55</v>
      </c>
      <c r="D98" s="322" t="s">
        <v>56</v>
      </c>
      <c r="E98" s="322" t="s">
        <v>57</v>
      </c>
      <c r="F98" s="322" t="s">
        <v>57</v>
      </c>
      <c r="G98" s="322" t="s">
        <v>58</v>
      </c>
      <c r="H98" s="323" t="s">
        <v>59</v>
      </c>
      <c r="I98" s="532"/>
      <c r="J98" s="338"/>
      <c r="O98" s="616"/>
      <c r="P98" s="618"/>
      <c r="Q98" s="148" t="s">
        <v>55</v>
      </c>
      <c r="R98" s="322" t="s">
        <v>60</v>
      </c>
      <c r="S98" s="322" t="s">
        <v>61</v>
      </c>
      <c r="T98" s="322" t="s">
        <v>62</v>
      </c>
      <c r="U98" s="322" t="s">
        <v>63</v>
      </c>
      <c r="V98" s="323" t="s">
        <v>64</v>
      </c>
      <c r="W98" s="165">
        <f t="shared" si="32"/>
        <v>2731.9880000000003</v>
      </c>
      <c r="X98" s="165"/>
      <c r="Y98" s="165"/>
      <c r="Z98" s="165"/>
      <c r="AA98" s="165"/>
      <c r="AB98" s="183">
        <f>(S108-R108)/R108</f>
        <v>0.49373744076977122</v>
      </c>
    </row>
    <row r="99" spans="1:29" ht="30">
      <c r="A99" s="652"/>
      <c r="B99" s="638"/>
      <c r="C99" s="149" t="s">
        <v>179</v>
      </c>
      <c r="D99" s="150" t="s">
        <v>66</v>
      </c>
      <c r="E99" s="150" t="s">
        <v>57</v>
      </c>
      <c r="F99" s="150" t="s">
        <v>180</v>
      </c>
      <c r="G99" s="150" t="s">
        <v>181</v>
      </c>
      <c r="H99" s="151" t="s">
        <v>182</v>
      </c>
      <c r="I99" s="532"/>
      <c r="J99" s="338"/>
      <c r="O99" s="632"/>
      <c r="P99" s="638"/>
      <c r="Q99" s="149" t="s">
        <v>179</v>
      </c>
      <c r="R99" s="150" t="s">
        <v>66</v>
      </c>
      <c r="S99" s="150" t="s">
        <v>61</v>
      </c>
      <c r="T99" s="150" t="s">
        <v>183</v>
      </c>
      <c r="U99" s="150" t="s">
        <v>184</v>
      </c>
      <c r="V99" s="151" t="s">
        <v>185</v>
      </c>
      <c r="W99" s="165">
        <f t="shared" si="32"/>
        <v>3974.0349999999999</v>
      </c>
      <c r="X99" s="165"/>
      <c r="Y99" s="165"/>
      <c r="Z99" s="165"/>
      <c r="AA99" s="165"/>
      <c r="AB99" s="183">
        <f>(S109-R109)/R109</f>
        <v>0.50203230335925375</v>
      </c>
      <c r="AC99">
        <v>20160</v>
      </c>
    </row>
    <row r="100" spans="1:29" ht="15" customHeight="1">
      <c r="A100" s="650" t="s">
        <v>89</v>
      </c>
      <c r="B100" s="618">
        <v>2514</v>
      </c>
      <c r="C100" s="147" t="s">
        <v>50</v>
      </c>
      <c r="D100" s="319">
        <f>D101*2514</f>
        <v>9907872.6060000006</v>
      </c>
      <c r="E100" s="319">
        <f t="shared" ref="E100:G100" si="35">E101*2514</f>
        <v>13225797.012</v>
      </c>
      <c r="F100" s="319">
        <f t="shared" si="35"/>
        <v>16359638.796</v>
      </c>
      <c r="G100" s="319">
        <f t="shared" si="35"/>
        <v>18811651.097999997</v>
      </c>
      <c r="H100" s="628" t="s">
        <v>66</v>
      </c>
      <c r="I100" s="532">
        <f t="shared" si="29"/>
        <v>3317924.4059999995</v>
      </c>
      <c r="J100" s="338">
        <f t="shared" si="30"/>
        <v>0.25086763413876589</v>
      </c>
      <c r="M100" s="355">
        <f>B114-B100</f>
        <v>3576</v>
      </c>
      <c r="O100" s="631" t="s">
        <v>89</v>
      </c>
      <c r="P100" s="637">
        <v>11991</v>
      </c>
      <c r="Q100" s="147" t="s">
        <v>50</v>
      </c>
      <c r="R100" s="531">
        <f>R101*11991</f>
        <v>63958375.214999996</v>
      </c>
      <c r="S100" s="531">
        <f t="shared" ref="S100:U100" si="36">S101*11991</f>
        <v>96188312.619000003</v>
      </c>
      <c r="T100" s="531">
        <f t="shared" si="36"/>
        <v>107629825.044</v>
      </c>
      <c r="U100" s="531">
        <f t="shared" si="36"/>
        <v>116611983.369</v>
      </c>
      <c r="V100" s="628" t="s">
        <v>66</v>
      </c>
      <c r="W100" s="165">
        <f t="shared" si="32"/>
        <v>1628.7740000000003</v>
      </c>
      <c r="X100" s="165"/>
      <c r="Y100" s="165"/>
      <c r="Z100" s="165"/>
      <c r="AA100" s="165"/>
      <c r="AB100" s="183">
        <f>(S110-R110)/R110</f>
        <v>0.68452794219748425</v>
      </c>
      <c r="AC100" s="109">
        <f>S94/AC99</f>
        <v>0.39919305555555556</v>
      </c>
    </row>
    <row r="101" spans="1:29">
      <c r="A101" s="650"/>
      <c r="B101" s="618"/>
      <c r="C101" s="148" t="s">
        <v>51</v>
      </c>
      <c r="D101" s="320">
        <v>3941.0790000000002</v>
      </c>
      <c r="E101" s="320">
        <v>5260.8580000000002</v>
      </c>
      <c r="F101" s="320">
        <v>6507.4139999999998</v>
      </c>
      <c r="G101" s="320">
        <v>7482.7569999999996</v>
      </c>
      <c r="H101" s="629"/>
      <c r="I101" s="532">
        <f t="shared" si="29"/>
        <v>1319.779</v>
      </c>
      <c r="J101" s="338">
        <f t="shared" si="30"/>
        <v>0.25086763413876595</v>
      </c>
      <c r="M101">
        <f>M100*E116</f>
        <v>31615230.048</v>
      </c>
      <c r="O101" s="616"/>
      <c r="P101" s="618"/>
      <c r="Q101" s="148" t="s">
        <v>51</v>
      </c>
      <c r="R101" s="532">
        <v>5333.8649999999998</v>
      </c>
      <c r="S101" s="532">
        <v>8021.7089999999998</v>
      </c>
      <c r="T101" s="532">
        <v>8975.884</v>
      </c>
      <c r="U101" s="532">
        <v>9724.9590000000007</v>
      </c>
      <c r="V101" s="629"/>
      <c r="W101" s="165">
        <f t="shared" si="32"/>
        <v>3928.4929999999995</v>
      </c>
      <c r="X101" s="165"/>
      <c r="Y101" s="165"/>
      <c r="Z101" s="165"/>
      <c r="AA101" s="165"/>
      <c r="AB101" s="183">
        <f>(S111-R111)/R111</f>
        <v>0.71699355316064495</v>
      </c>
      <c r="AC101">
        <f>20160/3</f>
        <v>6720</v>
      </c>
    </row>
    <row r="102" spans="1:29" ht="30" customHeight="1">
      <c r="A102" s="650"/>
      <c r="B102" s="618"/>
      <c r="C102" s="148" t="s">
        <v>52</v>
      </c>
      <c r="D102" s="320">
        <v>6165.4459999999999</v>
      </c>
      <c r="E102" s="320">
        <v>8209.6820000000007</v>
      </c>
      <c r="F102" s="320">
        <v>10142.370000000001</v>
      </c>
      <c r="G102" s="320">
        <v>11706.07</v>
      </c>
      <c r="H102" s="629"/>
      <c r="I102" s="532">
        <f t="shared" si="29"/>
        <v>2044.2360000000008</v>
      </c>
      <c r="J102" s="338">
        <f t="shared" si="30"/>
        <v>0.24900306735388783</v>
      </c>
      <c r="M102" s="132">
        <f>M101+G100</f>
        <v>50426881.145999998</v>
      </c>
      <c r="O102" s="616"/>
      <c r="P102" s="618"/>
      <c r="Q102" s="148" t="s">
        <v>52</v>
      </c>
      <c r="R102" s="532">
        <v>7686.3810000000003</v>
      </c>
      <c r="S102" s="325">
        <v>11718.85</v>
      </c>
      <c r="T102" s="325">
        <v>13593.06</v>
      </c>
      <c r="U102" s="532">
        <v>15027.32</v>
      </c>
      <c r="V102" s="629"/>
      <c r="W102" s="165"/>
      <c r="X102" s="165"/>
      <c r="Y102" s="165"/>
      <c r="Z102" s="165"/>
      <c r="AA102" s="165"/>
      <c r="AB102" s="183"/>
    </row>
    <row r="103" spans="1:29">
      <c r="A103" s="650"/>
      <c r="B103" s="618"/>
      <c r="C103" s="148" t="s">
        <v>53</v>
      </c>
      <c r="D103" s="320">
        <v>927.73820000000001</v>
      </c>
      <c r="E103" s="320">
        <v>1424.952</v>
      </c>
      <c r="F103" s="320">
        <v>1827.251</v>
      </c>
      <c r="G103" s="320">
        <v>2211.4699999999998</v>
      </c>
      <c r="H103" s="629"/>
      <c r="I103" s="532">
        <f t="shared" si="29"/>
        <v>497.21379999999999</v>
      </c>
      <c r="J103" s="338">
        <f t="shared" si="30"/>
        <v>0.34893371846911336</v>
      </c>
      <c r="O103" s="616"/>
      <c r="P103" s="618"/>
      <c r="Q103" s="148" t="s">
        <v>53</v>
      </c>
      <c r="R103" s="532">
        <v>2258.6309999999999</v>
      </c>
      <c r="S103" s="532">
        <v>3714.009</v>
      </c>
      <c r="T103" s="532">
        <v>3895.3969999999999</v>
      </c>
      <c r="U103" s="532">
        <v>4016.9659999999999</v>
      </c>
      <c r="V103" s="629"/>
      <c r="W103" s="165"/>
      <c r="X103" s="165"/>
      <c r="Y103" s="165"/>
      <c r="Z103" s="165"/>
      <c r="AA103" s="165"/>
      <c r="AB103" s="183"/>
    </row>
    <row r="104" spans="1:29" ht="15.75" customHeight="1">
      <c r="A104" s="650"/>
      <c r="B104" s="618"/>
      <c r="C104" s="148" t="s">
        <v>54</v>
      </c>
      <c r="D104" s="320">
        <v>3540.8159999999998</v>
      </c>
      <c r="E104" s="320">
        <v>5804.5039999999999</v>
      </c>
      <c r="F104" s="321">
        <v>7177.1840000000002</v>
      </c>
      <c r="G104" s="320">
        <v>8534.0069999999996</v>
      </c>
      <c r="H104" s="629"/>
      <c r="I104" s="532">
        <f t="shared" si="29"/>
        <v>2263.6880000000001</v>
      </c>
      <c r="J104" s="338">
        <f t="shared" si="30"/>
        <v>0.38998818848259903</v>
      </c>
      <c r="O104" s="616"/>
      <c r="P104" s="618"/>
      <c r="Q104" s="148" t="s">
        <v>54</v>
      </c>
      <c r="R104" s="532">
        <v>5309.04</v>
      </c>
      <c r="S104" s="532">
        <v>9311.2489999999998</v>
      </c>
      <c r="T104" s="532">
        <v>11205.58</v>
      </c>
      <c r="U104" s="532">
        <v>12267.57</v>
      </c>
      <c r="V104" s="629"/>
      <c r="W104" s="165">
        <f t="shared" si="32"/>
        <v>61891765.670000017</v>
      </c>
      <c r="X104" s="165"/>
      <c r="Y104" s="165"/>
      <c r="Z104" s="165"/>
      <c r="AA104" s="165"/>
      <c r="AB104" s="183">
        <f>(S114-R114)/R114</f>
        <v>0.47572691422750313</v>
      </c>
    </row>
    <row r="105" spans="1:29" ht="30" customHeight="1">
      <c r="A105" s="650"/>
      <c r="B105" s="618"/>
      <c r="C105" s="148" t="s">
        <v>55</v>
      </c>
      <c r="D105" s="322" t="s">
        <v>192</v>
      </c>
      <c r="E105" s="322" t="s">
        <v>91</v>
      </c>
      <c r="F105" s="322" t="s">
        <v>92</v>
      </c>
      <c r="G105" s="322" t="s">
        <v>90</v>
      </c>
      <c r="H105" s="629"/>
      <c r="I105" s="532"/>
      <c r="J105" s="338"/>
      <c r="O105" s="616"/>
      <c r="P105" s="618"/>
      <c r="Q105" s="148" t="s">
        <v>55</v>
      </c>
      <c r="R105" s="322" t="s">
        <v>93</v>
      </c>
      <c r="S105" s="322" t="s">
        <v>94</v>
      </c>
      <c r="T105" s="322" t="s">
        <v>95</v>
      </c>
      <c r="U105" s="322" t="s">
        <v>96</v>
      </c>
      <c r="V105" s="629"/>
      <c r="W105" s="165">
        <f t="shared" si="32"/>
        <v>2750.134</v>
      </c>
      <c r="X105" s="165"/>
      <c r="Y105" s="165"/>
      <c r="Z105" s="165"/>
      <c r="AA105" s="165"/>
      <c r="AB105" s="183">
        <f>(S115-R115)/R115</f>
        <v>0.47572691422750302</v>
      </c>
    </row>
    <row r="106" spans="1:29" ht="30">
      <c r="A106" s="650"/>
      <c r="B106" s="618"/>
      <c r="C106" s="149" t="s">
        <v>179</v>
      </c>
      <c r="D106" s="150" t="s">
        <v>66</v>
      </c>
      <c r="E106" s="150" t="s">
        <v>91</v>
      </c>
      <c r="F106" s="150" t="s">
        <v>193</v>
      </c>
      <c r="G106" s="150" t="s">
        <v>194</v>
      </c>
      <c r="H106" s="630"/>
      <c r="I106" s="532"/>
      <c r="J106" s="338"/>
      <c r="O106" s="632"/>
      <c r="P106" s="638"/>
      <c r="Q106" s="149" t="s">
        <v>179</v>
      </c>
      <c r="R106" s="150" t="s">
        <v>66</v>
      </c>
      <c r="S106" s="150" t="s">
        <v>94</v>
      </c>
      <c r="T106" s="150" t="s">
        <v>195</v>
      </c>
      <c r="U106" s="150" t="s">
        <v>196</v>
      </c>
      <c r="V106" s="630"/>
      <c r="W106" s="165">
        <f t="shared" si="32"/>
        <v>3974.9059999999999</v>
      </c>
      <c r="X106" s="165"/>
      <c r="Y106" s="165"/>
      <c r="Z106" s="165"/>
      <c r="AA106" s="165"/>
      <c r="AB106" s="183">
        <f>(S116-R116)/R116</f>
        <v>0.48930387215313814</v>
      </c>
    </row>
    <row r="107" spans="1:29" ht="15" customHeight="1">
      <c r="A107" s="651" t="s">
        <v>97</v>
      </c>
      <c r="B107" s="637">
        <v>4395</v>
      </c>
      <c r="C107" s="147" t="s">
        <v>50</v>
      </c>
      <c r="D107" s="531">
        <f>D108*4395</f>
        <v>18765832.530000001</v>
      </c>
      <c r="E107" s="531">
        <f t="shared" ref="E107:F107" si="37">E108*4395</f>
        <v>24979008.870000001</v>
      </c>
      <c r="F107" s="531">
        <f t="shared" si="37"/>
        <v>30888358.859999999</v>
      </c>
      <c r="G107" s="620" t="s">
        <v>66</v>
      </c>
      <c r="H107" s="623" t="s">
        <v>66</v>
      </c>
      <c r="I107" s="532">
        <f t="shared" si="29"/>
        <v>6213176.3399999999</v>
      </c>
      <c r="J107" s="338">
        <f t="shared" si="30"/>
        <v>0.24873590350744768</v>
      </c>
      <c r="O107" s="631" t="s">
        <v>97</v>
      </c>
      <c r="P107" s="637">
        <v>17356</v>
      </c>
      <c r="Q107" s="147" t="s">
        <v>50</v>
      </c>
      <c r="R107" s="531">
        <f>R108*17356</f>
        <v>96035625.035999998</v>
      </c>
      <c r="S107" s="531">
        <f t="shared" ref="S107:T107" si="38">S108*17356</f>
        <v>143452008.764</v>
      </c>
      <c r="T107" s="531">
        <f t="shared" si="38"/>
        <v>160375965.85600001</v>
      </c>
      <c r="U107" s="620" t="s">
        <v>66</v>
      </c>
      <c r="V107" s="623" t="s">
        <v>66</v>
      </c>
      <c r="W107" s="165">
        <f t="shared" si="32"/>
        <v>1673.4679999999998</v>
      </c>
      <c r="X107" s="165"/>
      <c r="Y107" s="165"/>
      <c r="Z107" s="165"/>
      <c r="AA107" s="165"/>
      <c r="AB107" s="183">
        <f>(S117-R117)/R117</f>
        <v>0.62773497561595915</v>
      </c>
    </row>
    <row r="108" spans="1:29">
      <c r="A108" s="650"/>
      <c r="B108" s="618"/>
      <c r="C108" s="148" t="s">
        <v>51</v>
      </c>
      <c r="D108" s="532">
        <v>4269.8140000000003</v>
      </c>
      <c r="E108" s="532">
        <v>5683.5060000000003</v>
      </c>
      <c r="F108" s="532">
        <v>7028.0680000000002</v>
      </c>
      <c r="G108" s="621"/>
      <c r="H108" s="624"/>
      <c r="I108" s="532">
        <f t="shared" si="29"/>
        <v>1413.692</v>
      </c>
      <c r="J108" s="338">
        <f t="shared" si="30"/>
        <v>0.24873590350744768</v>
      </c>
      <c r="O108" s="616"/>
      <c r="P108" s="618"/>
      <c r="Q108" s="148" t="s">
        <v>51</v>
      </c>
      <c r="R108" s="532">
        <v>5533.2809999999999</v>
      </c>
      <c r="S108" s="532">
        <v>8265.2690000000002</v>
      </c>
      <c r="T108" s="532">
        <v>9240.3760000000002</v>
      </c>
      <c r="U108" s="621"/>
      <c r="V108" s="624"/>
      <c r="W108" s="165">
        <f t="shared" si="32"/>
        <v>3917.0369999999994</v>
      </c>
      <c r="X108" s="165"/>
      <c r="Y108" s="165"/>
      <c r="Z108" s="165"/>
      <c r="AA108" s="165"/>
      <c r="AB108" s="183">
        <f>(S118-R118)/R118</f>
        <v>0.68896358306927996</v>
      </c>
    </row>
    <row r="109" spans="1:29" ht="30" customHeight="1">
      <c r="A109" s="650"/>
      <c r="B109" s="618"/>
      <c r="C109" s="148" t="s">
        <v>52</v>
      </c>
      <c r="D109" s="532">
        <v>6543.1769999999997</v>
      </c>
      <c r="E109" s="532">
        <v>8563.2530000000006</v>
      </c>
      <c r="F109" s="532">
        <v>10728.85</v>
      </c>
      <c r="G109" s="621"/>
      <c r="H109" s="624"/>
      <c r="I109" s="532">
        <f t="shared" si="29"/>
        <v>2020.0760000000009</v>
      </c>
      <c r="J109" s="338">
        <f t="shared" si="30"/>
        <v>0.23590053919929738</v>
      </c>
      <c r="M109" s="355">
        <f>B114-B107</f>
        <v>1695</v>
      </c>
      <c r="O109" s="616"/>
      <c r="P109" s="618"/>
      <c r="Q109" s="148" t="s">
        <v>52</v>
      </c>
      <c r="R109" s="532">
        <v>7915.8950000000004</v>
      </c>
      <c r="S109" s="532">
        <v>11889.93</v>
      </c>
      <c r="T109" s="532">
        <v>13875.75</v>
      </c>
      <c r="U109" s="621"/>
      <c r="V109" s="624"/>
    </row>
    <row r="110" spans="1:29">
      <c r="A110" s="650"/>
      <c r="B110" s="618"/>
      <c r="C110" s="148" t="s">
        <v>53</v>
      </c>
      <c r="D110" s="532">
        <v>1145.009</v>
      </c>
      <c r="E110" s="532">
        <v>1803.452</v>
      </c>
      <c r="F110" s="532">
        <v>2353.3420000000001</v>
      </c>
      <c r="G110" s="621"/>
      <c r="H110" s="624"/>
      <c r="I110" s="532">
        <f t="shared" si="29"/>
        <v>658.44299999999998</v>
      </c>
      <c r="J110" s="338">
        <f t="shared" si="30"/>
        <v>0.36510148315563706</v>
      </c>
      <c r="M110" s="531">
        <f>M109*E116</f>
        <v>14985406.860000001</v>
      </c>
      <c r="O110" s="616"/>
      <c r="P110" s="618"/>
      <c r="Q110" s="148" t="s">
        <v>53</v>
      </c>
      <c r="R110" s="532">
        <v>2379.4119999999998</v>
      </c>
      <c r="S110" s="532">
        <v>4008.1860000000001</v>
      </c>
      <c r="T110" s="532">
        <v>4186.9170000000004</v>
      </c>
      <c r="U110" s="621"/>
      <c r="V110" s="624"/>
      <c r="W110" s="444">
        <f>S94/12</f>
        <v>670.64433333333329</v>
      </c>
      <c r="X110" s="444"/>
      <c r="Y110" s="444"/>
      <c r="Z110" s="444"/>
      <c r="AA110" s="444"/>
      <c r="AB110" s="158"/>
    </row>
    <row r="111" spans="1:29" ht="16.350000000000001" customHeight="1">
      <c r="A111" s="650"/>
      <c r="B111" s="618"/>
      <c r="C111" s="148" t="s">
        <v>54</v>
      </c>
      <c r="D111" s="532">
        <v>3899.1109999999999</v>
      </c>
      <c r="E111" s="532">
        <v>5895.9859999999999</v>
      </c>
      <c r="F111" s="532">
        <v>7725.9669999999996</v>
      </c>
      <c r="G111" s="621"/>
      <c r="H111" s="624"/>
      <c r="I111" s="532">
        <f t="shared" si="29"/>
        <v>1996.875</v>
      </c>
      <c r="J111" s="338">
        <f t="shared" si="30"/>
        <v>0.33868380962912736</v>
      </c>
      <c r="M111" s="132">
        <f>F107+M110</f>
        <v>45873765.719999999</v>
      </c>
      <c r="O111" s="616"/>
      <c r="P111" s="618"/>
      <c r="Q111" s="148" t="s">
        <v>54</v>
      </c>
      <c r="R111" s="532">
        <v>5479.1189999999997</v>
      </c>
      <c r="S111" s="532">
        <v>9407.6119999999992</v>
      </c>
      <c r="T111" s="532">
        <v>11401.85</v>
      </c>
      <c r="U111" s="621"/>
      <c r="V111" s="624"/>
    </row>
    <row r="112" spans="1:29" ht="30" customHeight="1">
      <c r="A112" s="650"/>
      <c r="B112" s="618"/>
      <c r="C112" s="148" t="s">
        <v>55</v>
      </c>
      <c r="D112" s="322" t="s">
        <v>98</v>
      </c>
      <c r="E112" s="322" t="s">
        <v>99</v>
      </c>
      <c r="F112" s="322" t="s">
        <v>100</v>
      </c>
      <c r="G112" s="621"/>
      <c r="H112" s="624"/>
      <c r="I112" s="532"/>
      <c r="J112" s="338"/>
      <c r="O112" s="616"/>
      <c r="P112" s="618"/>
      <c r="Q112" s="148" t="s">
        <v>55</v>
      </c>
      <c r="R112" s="322" t="s">
        <v>101</v>
      </c>
      <c r="S112" s="322" t="s">
        <v>102</v>
      </c>
      <c r="T112" s="322" t="s">
        <v>103</v>
      </c>
      <c r="U112" s="621"/>
      <c r="V112" s="624"/>
    </row>
    <row r="113" spans="1:34" ht="30">
      <c r="A113" s="652"/>
      <c r="B113" s="638"/>
      <c r="C113" s="149" t="s">
        <v>179</v>
      </c>
      <c r="D113" s="150" t="s">
        <v>66</v>
      </c>
      <c r="E113" s="150" t="s">
        <v>99</v>
      </c>
      <c r="F113" s="150" t="s">
        <v>197</v>
      </c>
      <c r="G113" s="635"/>
      <c r="H113" s="636"/>
      <c r="I113" s="532"/>
      <c r="J113" s="338"/>
      <c r="O113" s="632"/>
      <c r="P113" s="638"/>
      <c r="Q113" s="149" t="s">
        <v>179</v>
      </c>
      <c r="R113" s="150" t="s">
        <v>66</v>
      </c>
      <c r="S113" s="150" t="s">
        <v>102</v>
      </c>
      <c r="T113" s="150" t="s">
        <v>198</v>
      </c>
      <c r="U113" s="635"/>
      <c r="V113" s="636"/>
    </row>
    <row r="114" spans="1:34" ht="15" customHeight="1">
      <c r="A114" s="616" t="s">
        <v>104</v>
      </c>
      <c r="B114" s="618">
        <v>6090</v>
      </c>
      <c r="C114" s="148" t="s">
        <v>50</v>
      </c>
      <c r="D114" s="532">
        <f>D115*6090</f>
        <v>28059181.710000001</v>
      </c>
      <c r="E114" s="532">
        <f>E115*6090</f>
        <v>36707615.07</v>
      </c>
      <c r="F114" s="621" t="s">
        <v>66</v>
      </c>
      <c r="G114" s="621" t="s">
        <v>66</v>
      </c>
      <c r="H114" s="624" t="s">
        <v>66</v>
      </c>
      <c r="I114" s="532">
        <f t="shared" si="29"/>
        <v>8648433.3599999994</v>
      </c>
      <c r="J114" s="338">
        <f t="shared" si="30"/>
        <v>0.23560324863132001</v>
      </c>
      <c r="O114" s="616" t="s">
        <v>104</v>
      </c>
      <c r="P114" s="618">
        <v>22505</v>
      </c>
      <c r="Q114" s="148" t="s">
        <v>50</v>
      </c>
      <c r="R114" s="532">
        <f>R115*22505</f>
        <v>130099357.04499999</v>
      </c>
      <c r="S114" s="532">
        <f>S115*22505</f>
        <v>191991122.715</v>
      </c>
      <c r="T114" s="621" t="s">
        <v>66</v>
      </c>
      <c r="U114" s="621" t="s">
        <v>66</v>
      </c>
      <c r="V114" s="624" t="s">
        <v>66</v>
      </c>
      <c r="W114" s="132">
        <f>S114-R114</f>
        <v>61891765.670000017</v>
      </c>
      <c r="X114" s="132"/>
      <c r="Y114" s="132"/>
      <c r="Z114" s="132"/>
      <c r="AA114" s="132"/>
    </row>
    <row r="115" spans="1:34">
      <c r="A115" s="616"/>
      <c r="B115" s="618"/>
      <c r="C115" s="148" t="s">
        <v>51</v>
      </c>
      <c r="D115" s="532">
        <v>4607.4189999999999</v>
      </c>
      <c r="E115" s="532">
        <v>6027.5230000000001</v>
      </c>
      <c r="F115" s="621"/>
      <c r="G115" s="621"/>
      <c r="H115" s="624"/>
      <c r="I115" s="532">
        <f t="shared" si="29"/>
        <v>1420.1040000000003</v>
      </c>
      <c r="J115" s="338">
        <f t="shared" si="30"/>
        <v>0.23560324863132007</v>
      </c>
      <c r="O115" s="616"/>
      <c r="P115" s="618"/>
      <c r="Q115" s="148" t="s">
        <v>51</v>
      </c>
      <c r="R115" s="325">
        <v>5780.9089999999997</v>
      </c>
      <c r="S115" s="325">
        <v>8531.0429999999997</v>
      </c>
      <c r="T115" s="621"/>
      <c r="U115" s="621"/>
      <c r="V115" s="624"/>
      <c r="AE115" s="158"/>
      <c r="AF115" s="158"/>
      <c r="AG115" s="158"/>
      <c r="AH115" s="158"/>
    </row>
    <row r="116" spans="1:34" ht="30" customHeight="1">
      <c r="A116" s="616"/>
      <c r="B116" s="618"/>
      <c r="C116" s="148" t="s">
        <v>52</v>
      </c>
      <c r="D116" s="532">
        <v>6885.6880000000001</v>
      </c>
      <c r="E116" s="532">
        <v>8840.9480000000003</v>
      </c>
      <c r="F116" s="621"/>
      <c r="G116" s="621"/>
      <c r="H116" s="624"/>
      <c r="I116" s="532">
        <f t="shared" si="29"/>
        <v>1955.2600000000002</v>
      </c>
      <c r="J116" s="338">
        <f t="shared" si="30"/>
        <v>0.22115954080942452</v>
      </c>
      <c r="O116" s="616"/>
      <c r="P116" s="618"/>
      <c r="Q116" s="148" t="s">
        <v>52</v>
      </c>
      <c r="R116" s="532">
        <v>8123.5940000000001</v>
      </c>
      <c r="S116" s="325">
        <v>12098.5</v>
      </c>
      <c r="T116" s="621"/>
      <c r="U116" s="621"/>
      <c r="V116" s="624"/>
      <c r="AE116" t="s">
        <v>174</v>
      </c>
      <c r="AF116" t="s">
        <v>175</v>
      </c>
      <c r="AG116" t="s">
        <v>199</v>
      </c>
    </row>
    <row r="117" spans="1:34">
      <c r="A117" s="616"/>
      <c r="B117" s="618"/>
      <c r="C117" s="148" t="s">
        <v>53</v>
      </c>
      <c r="D117" s="532">
        <v>1397.461</v>
      </c>
      <c r="E117" s="532">
        <v>2220.433</v>
      </c>
      <c r="F117" s="621"/>
      <c r="G117" s="621"/>
      <c r="H117" s="624"/>
      <c r="I117" s="532">
        <f t="shared" si="29"/>
        <v>822.97199999999998</v>
      </c>
      <c r="J117" s="338">
        <f t="shared" si="30"/>
        <v>0.37063581742840246</v>
      </c>
      <c r="O117" s="616"/>
      <c r="P117" s="618"/>
      <c r="Q117" s="148" t="s">
        <v>53</v>
      </c>
      <c r="R117" s="532">
        <v>2665.8829999999998</v>
      </c>
      <c r="S117" s="325">
        <v>4339.3509999999997</v>
      </c>
      <c r="T117" s="621"/>
      <c r="U117" s="621"/>
      <c r="V117" s="624"/>
      <c r="AE117" s="532">
        <f>R116</f>
        <v>8123.5940000000001</v>
      </c>
      <c r="AF117" s="532">
        <f>R118</f>
        <v>5685.4049999999997</v>
      </c>
      <c r="AG117" s="132">
        <f>R114</f>
        <v>130099357.04499999</v>
      </c>
    </row>
    <row r="118" spans="1:34" ht="16.5" customHeight="1">
      <c r="A118" s="616"/>
      <c r="B118" s="618"/>
      <c r="C118" s="148" t="s">
        <v>54</v>
      </c>
      <c r="D118" s="532">
        <v>4193.9070000000002</v>
      </c>
      <c r="E118" s="532">
        <v>6199.491</v>
      </c>
      <c r="F118" s="621"/>
      <c r="G118" s="621"/>
      <c r="H118" s="624"/>
      <c r="I118" s="532">
        <f t="shared" si="29"/>
        <v>2005.5839999999998</v>
      </c>
      <c r="J118" s="338">
        <f t="shared" si="30"/>
        <v>0.32350784927343224</v>
      </c>
      <c r="O118" s="616"/>
      <c r="P118" s="618"/>
      <c r="Q118" s="148" t="s">
        <v>54</v>
      </c>
      <c r="R118" s="325">
        <v>5685.4049999999997</v>
      </c>
      <c r="S118" s="325">
        <v>9602.4419999999991</v>
      </c>
      <c r="T118" s="621"/>
      <c r="U118" s="621"/>
      <c r="V118" s="624"/>
      <c r="AE118" s="165">
        <f>S116</f>
        <v>12098.5</v>
      </c>
      <c r="AF118" s="165">
        <f>S118</f>
        <v>9602.4419999999991</v>
      </c>
      <c r="AG118" s="418">
        <f>S114</f>
        <v>191991122.715</v>
      </c>
    </row>
    <row r="119" spans="1:34" ht="30.75" customHeight="1">
      <c r="A119" s="616"/>
      <c r="B119" s="618"/>
      <c r="C119" s="148" t="s">
        <v>55</v>
      </c>
      <c r="D119" s="322" t="s">
        <v>105</v>
      </c>
      <c r="E119" s="322" t="s">
        <v>106</v>
      </c>
      <c r="F119" s="621"/>
      <c r="G119" s="621"/>
      <c r="H119" s="624"/>
      <c r="I119" s="532"/>
      <c r="J119" s="338"/>
      <c r="O119" s="616"/>
      <c r="P119" s="618"/>
      <c r="Q119" s="148" t="s">
        <v>55</v>
      </c>
      <c r="R119" s="322" t="s">
        <v>107</v>
      </c>
      <c r="S119" s="322" t="s">
        <v>108</v>
      </c>
      <c r="T119" s="621"/>
      <c r="U119" s="621"/>
      <c r="V119" s="624"/>
      <c r="AE119" s="132">
        <f t="shared" ref="AD119:AG124" si="39">AE118-AE117</f>
        <v>3974.9059999999999</v>
      </c>
      <c r="AF119" s="132">
        <f t="shared" si="39"/>
        <v>3917.0369999999994</v>
      </c>
      <c r="AG119" s="132">
        <f t="shared" si="39"/>
        <v>61891765.670000017</v>
      </c>
    </row>
    <row r="120" spans="1:34" s="158" customFormat="1" ht="28.5" customHeight="1" thickBot="1">
      <c r="A120" s="617"/>
      <c r="B120" s="619"/>
      <c r="C120" s="383" t="s">
        <v>179</v>
      </c>
      <c r="D120" s="377" t="s">
        <v>66</v>
      </c>
      <c r="E120" s="382" t="s">
        <v>106</v>
      </c>
      <c r="F120" s="622"/>
      <c r="G120" s="622"/>
      <c r="H120" s="625"/>
      <c r="I120" s="532">
        <v>40000000</v>
      </c>
      <c r="J120" s="446">
        <f>I114/I120</f>
        <v>0.21621083399999999</v>
      </c>
      <c r="L120" s="158" t="s">
        <v>200</v>
      </c>
      <c r="O120" s="617"/>
      <c r="P120" s="619"/>
      <c r="Q120" s="156" t="s">
        <v>201</v>
      </c>
      <c r="R120" s="377" t="s">
        <v>66</v>
      </c>
      <c r="S120" s="382" t="s">
        <v>108</v>
      </c>
      <c r="T120" s="622"/>
      <c r="U120" s="622"/>
      <c r="V120" s="625"/>
      <c r="W120"/>
      <c r="X120"/>
      <c r="Y120"/>
      <c r="Z120"/>
      <c r="AA120"/>
      <c r="AB120"/>
      <c r="AE120" s="473">
        <f t="shared" ref="AD120:AF125" si="40">(AE118-AE117)/AE117</f>
        <v>0.48930387215313814</v>
      </c>
      <c r="AF120" s="473">
        <f t="shared" si="40"/>
        <v>0.68896358306927996</v>
      </c>
      <c r="AG120" s="473">
        <f t="shared" ref="AG120" si="41">(AG118-AG117)/AG117</f>
        <v>0.47572691422750313</v>
      </c>
      <c r="AH120"/>
    </row>
    <row r="121" spans="1:34">
      <c r="R121" s="322"/>
      <c r="AC121" t="s">
        <v>172</v>
      </c>
      <c r="AD121" t="s">
        <v>173</v>
      </c>
      <c r="AE121" t="s">
        <v>174</v>
      </c>
      <c r="AF121" t="s">
        <v>175</v>
      </c>
      <c r="AG121" t="s">
        <v>199</v>
      </c>
    </row>
    <row r="122" spans="1:34">
      <c r="AB122" t="s">
        <v>132</v>
      </c>
      <c r="AC122" s="132">
        <f>R115</f>
        <v>5780.9089999999997</v>
      </c>
      <c r="AD122" s="132">
        <f>R117</f>
        <v>2665.8829999999998</v>
      </c>
      <c r="AE122" s="532">
        <v>8123.5940000000001</v>
      </c>
      <c r="AF122" s="532">
        <v>5685.4049999999997</v>
      </c>
      <c r="AG122" s="132">
        <v>130099357.04499999</v>
      </c>
    </row>
    <row r="123" spans="1:34">
      <c r="R123" t="s">
        <v>202</v>
      </c>
      <c r="S123" t="s">
        <v>203</v>
      </c>
      <c r="AB123" t="s">
        <v>133</v>
      </c>
      <c r="AC123" s="132">
        <f>S115</f>
        <v>8531.0429999999997</v>
      </c>
      <c r="AD123" s="132">
        <f>S117</f>
        <v>4339.3509999999997</v>
      </c>
      <c r="AE123" s="165">
        <v>12098.5</v>
      </c>
      <c r="AF123" s="165">
        <v>9602.4419999999991</v>
      </c>
      <c r="AG123" s="418">
        <v>191991122.715</v>
      </c>
    </row>
    <row r="124" spans="1:34">
      <c r="Q124" s="132" t="s">
        <v>24</v>
      </c>
      <c r="R124" s="132">
        <f>R114</f>
        <v>130099357.04499999</v>
      </c>
      <c r="S124" s="132">
        <f>S114</f>
        <v>191991122.715</v>
      </c>
      <c r="AC124" s="132">
        <f>AC123-AC122</f>
        <v>2750.134</v>
      </c>
      <c r="AD124" s="132">
        <f t="shared" si="39"/>
        <v>1673.4679999999998</v>
      </c>
      <c r="AE124" s="132">
        <v>3974.9059999999999</v>
      </c>
      <c r="AF124" s="132">
        <v>3917.0369999999994</v>
      </c>
      <c r="AG124" s="132">
        <v>61891765.670000017</v>
      </c>
    </row>
    <row r="125" spans="1:34">
      <c r="Q125" s="132" t="s">
        <v>122</v>
      </c>
      <c r="R125" s="132">
        <f>D114</f>
        <v>28059181.710000001</v>
      </c>
      <c r="S125" s="132">
        <f>E114</f>
        <v>36707615.07</v>
      </c>
      <c r="AC125" s="473">
        <f>(AC123-AC122)/AC122</f>
        <v>0.47572691422750302</v>
      </c>
      <c r="AD125" s="473">
        <f t="shared" si="40"/>
        <v>0.62773497561595915</v>
      </c>
      <c r="AE125" s="473">
        <v>0.48930387215313814</v>
      </c>
      <c r="AF125" s="473">
        <v>0.68896358306927996</v>
      </c>
      <c r="AG125" s="473">
        <v>0.47572691422750313</v>
      </c>
    </row>
    <row r="126" spans="1:34">
      <c r="D126" t="s">
        <v>204</v>
      </c>
      <c r="E126" t="s">
        <v>205</v>
      </c>
      <c r="F126" t="s">
        <v>206</v>
      </c>
      <c r="G126" t="s">
        <v>207</v>
      </c>
    </row>
    <row r="127" spans="1:34">
      <c r="C127" s="148" t="s">
        <v>51</v>
      </c>
      <c r="D127" s="325">
        <f t="shared" ref="D127:E130" si="42">R115</f>
        <v>5780.9089999999997</v>
      </c>
      <c r="E127" s="325">
        <f t="shared" si="42"/>
        <v>8531.0429999999997</v>
      </c>
      <c r="F127" s="532">
        <f t="shared" ref="F127:G130" si="43">D115</f>
        <v>4607.4189999999999</v>
      </c>
      <c r="G127" s="532">
        <f t="shared" si="43"/>
        <v>6027.5230000000001</v>
      </c>
      <c r="R127" t="s">
        <v>208</v>
      </c>
    </row>
    <row r="128" spans="1:34">
      <c r="C128" s="148" t="s">
        <v>52</v>
      </c>
      <c r="D128" s="325">
        <f t="shared" si="42"/>
        <v>8123.5940000000001</v>
      </c>
      <c r="E128" s="325">
        <f t="shared" si="42"/>
        <v>12098.5</v>
      </c>
      <c r="F128" s="532">
        <f t="shared" si="43"/>
        <v>6885.6880000000001</v>
      </c>
      <c r="G128" s="532">
        <f t="shared" si="43"/>
        <v>8840.9480000000003</v>
      </c>
      <c r="Q128" s="132" t="s">
        <v>24</v>
      </c>
      <c r="R128" s="181">
        <f>AB104</f>
        <v>0.47572691422750313</v>
      </c>
    </row>
    <row r="129" spans="1:18">
      <c r="C129" s="148" t="s">
        <v>53</v>
      </c>
      <c r="D129" s="325">
        <f t="shared" si="42"/>
        <v>2665.8829999999998</v>
      </c>
      <c r="E129" s="325">
        <f t="shared" si="42"/>
        <v>4339.3509999999997</v>
      </c>
      <c r="F129" s="532">
        <f t="shared" si="43"/>
        <v>1397.461</v>
      </c>
      <c r="G129" s="532">
        <f t="shared" si="43"/>
        <v>2220.433</v>
      </c>
      <c r="Q129" s="132" t="s">
        <v>122</v>
      </c>
      <c r="R129" s="181">
        <f>J114</f>
        <v>0.23560324863132001</v>
      </c>
    </row>
    <row r="130" spans="1:18">
      <c r="C130" s="148" t="s">
        <v>54</v>
      </c>
      <c r="D130" s="325">
        <f t="shared" si="42"/>
        <v>5685.4049999999997</v>
      </c>
      <c r="E130" s="325">
        <f t="shared" si="42"/>
        <v>9602.4419999999991</v>
      </c>
      <c r="F130" s="532">
        <f t="shared" si="43"/>
        <v>4193.9070000000002</v>
      </c>
      <c r="G130" s="532">
        <f t="shared" si="43"/>
        <v>6199.491</v>
      </c>
    </row>
    <row r="134" spans="1:18">
      <c r="C134" s="148" t="s">
        <v>51</v>
      </c>
      <c r="D134" t="s">
        <v>204</v>
      </c>
      <c r="E134" t="s">
        <v>206</v>
      </c>
      <c r="F134" t="s">
        <v>205</v>
      </c>
      <c r="G134" t="s">
        <v>207</v>
      </c>
    </row>
    <row r="135" spans="1:18">
      <c r="C135" s="148" t="s">
        <v>52</v>
      </c>
      <c r="D135" s="325">
        <v>5780.9089999999997</v>
      </c>
      <c r="E135" s="532">
        <v>4607.4189999999999</v>
      </c>
      <c r="F135" s="325">
        <v>8531.0429999999997</v>
      </c>
      <c r="G135" s="532">
        <v>6027.5230000000001</v>
      </c>
    </row>
    <row r="136" spans="1:18">
      <c r="C136" s="148" t="s">
        <v>53</v>
      </c>
      <c r="D136" s="532">
        <v>8123.5940000000001</v>
      </c>
      <c r="E136" s="532">
        <v>6885.6880000000001</v>
      </c>
      <c r="F136" s="325">
        <v>12098.5</v>
      </c>
      <c r="G136" s="532">
        <v>8840.9480000000003</v>
      </c>
    </row>
    <row r="137" spans="1:18">
      <c r="C137" s="148" t="s">
        <v>54</v>
      </c>
      <c r="D137" s="532">
        <v>2665.8829999999998</v>
      </c>
      <c r="E137" s="532">
        <v>1397.461</v>
      </c>
      <c r="F137" s="325">
        <v>4339.3509999999997</v>
      </c>
      <c r="G137" s="532">
        <v>2220.433</v>
      </c>
    </row>
    <row r="138" spans="1:18">
      <c r="D138" s="325">
        <v>5685.4049999999997</v>
      </c>
      <c r="E138" s="532">
        <v>4193.9070000000002</v>
      </c>
      <c r="F138" s="325">
        <v>9602.4419999999991</v>
      </c>
      <c r="G138" s="532">
        <v>6199.491</v>
      </c>
    </row>
    <row r="142" spans="1:18">
      <c r="A142" t="s">
        <v>209</v>
      </c>
      <c r="B142" s="354">
        <f>FPL!H6</f>
        <v>20160</v>
      </c>
    </row>
    <row r="144" spans="1:18">
      <c r="C144" t="s">
        <v>210</v>
      </c>
    </row>
    <row r="145" spans="3:12">
      <c r="D145" t="s">
        <v>204</v>
      </c>
      <c r="E145" t="s">
        <v>205</v>
      </c>
      <c r="F145" t="s">
        <v>206</v>
      </c>
      <c r="G145" t="s">
        <v>207</v>
      </c>
    </row>
    <row r="146" spans="3:12">
      <c r="C146" s="148" t="s">
        <v>51</v>
      </c>
      <c r="D146" s="473">
        <f>D127/20160</f>
        <v>0.28675143849206347</v>
      </c>
      <c r="E146" s="473">
        <f t="shared" ref="E146:G146" si="44">E127/20160</f>
        <v>0.42316681547619045</v>
      </c>
      <c r="F146" s="473">
        <f t="shared" si="44"/>
        <v>0.22854260912698413</v>
      </c>
      <c r="G146" s="473">
        <f t="shared" si="44"/>
        <v>0.29898427579365078</v>
      </c>
    </row>
    <row r="147" spans="3:12">
      <c r="C147" s="148" t="s">
        <v>52</v>
      </c>
      <c r="D147" s="473">
        <f t="shared" ref="D147:G149" si="45">D128/20160</f>
        <v>0.40295605158730158</v>
      </c>
      <c r="E147" s="473">
        <f t="shared" si="45"/>
        <v>0.60012400793650789</v>
      </c>
      <c r="F147" s="473">
        <f t="shared" si="45"/>
        <v>0.34155198412698412</v>
      </c>
      <c r="G147" s="473">
        <f t="shared" si="45"/>
        <v>0.4385390873015873</v>
      </c>
      <c r="L147" t="s">
        <v>132</v>
      </c>
    </row>
    <row r="148" spans="3:12">
      <c r="C148" s="148" t="s">
        <v>53</v>
      </c>
      <c r="D148" s="473">
        <f t="shared" si="45"/>
        <v>0.13223625992063492</v>
      </c>
      <c r="E148" s="473">
        <f t="shared" si="45"/>
        <v>0.2152455853174603</v>
      </c>
      <c r="F148" s="473">
        <f t="shared" si="45"/>
        <v>6.9318501984126979E-2</v>
      </c>
      <c r="G148" s="473">
        <f t="shared" si="45"/>
        <v>0.11014052579365079</v>
      </c>
      <c r="L148" t="s">
        <v>133</v>
      </c>
    </row>
    <row r="149" spans="3:12">
      <c r="C149" s="148" t="s">
        <v>54</v>
      </c>
      <c r="D149" s="473">
        <f t="shared" si="45"/>
        <v>0.2820141369047619</v>
      </c>
      <c r="E149" s="473">
        <f t="shared" si="45"/>
        <v>0.47631160714285709</v>
      </c>
      <c r="F149" s="473">
        <f t="shared" si="45"/>
        <v>0.20803110119047619</v>
      </c>
      <c r="G149" s="473">
        <f t="shared" si="45"/>
        <v>0.3075144345238095</v>
      </c>
      <c r="L149" t="s">
        <v>211</v>
      </c>
    </row>
    <row r="151" spans="3:12">
      <c r="L151" t="s">
        <v>132</v>
      </c>
    </row>
    <row r="152" spans="3:12">
      <c r="D152" s="355" t="str">
        <f>C146</f>
        <v>Mean - all</v>
      </c>
      <c r="E152" s="355" t="str">
        <f>C147</f>
        <v>Mean - ppl w/ earnings</v>
      </c>
      <c r="F152" s="355" t="str">
        <f>C148</f>
        <v>Median - all</v>
      </c>
      <c r="G152" s="355" t="str">
        <f>C149</f>
        <v>Median - ppl w/ earnings</v>
      </c>
      <c r="L152" t="s">
        <v>133</v>
      </c>
    </row>
    <row r="153" spans="3:12">
      <c r="C153" t="str">
        <f>D145</f>
        <v>All, Pre</v>
      </c>
      <c r="D153" s="181">
        <f>D146</f>
        <v>0.28675143849206347</v>
      </c>
      <c r="E153" s="181">
        <f>D147</f>
        <v>0.40295605158730158</v>
      </c>
      <c r="F153" s="181">
        <f>D148</f>
        <v>0.13223625992063492</v>
      </c>
      <c r="G153" s="181">
        <f>D149</f>
        <v>0.2820141369047619</v>
      </c>
      <c r="L153" t="s">
        <v>212</v>
      </c>
    </row>
    <row r="154" spans="3:12">
      <c r="C154" t="str">
        <f>E145</f>
        <v>All, Post</v>
      </c>
      <c r="D154" s="181">
        <f>E146</f>
        <v>0.42316681547619045</v>
      </c>
      <c r="E154" s="181">
        <f>E147</f>
        <v>0.60012400793650789</v>
      </c>
      <c r="F154" s="181">
        <f>E148</f>
        <v>0.2152455853174603</v>
      </c>
      <c r="G154" s="181">
        <f>E149</f>
        <v>0.47631160714285709</v>
      </c>
      <c r="L154" t="s">
        <v>211</v>
      </c>
    </row>
    <row r="155" spans="3:12">
      <c r="C155" t="str">
        <f>F145</f>
        <v xml:space="preserve">WS, Pre </v>
      </c>
      <c r="D155" s="181">
        <f>F146</f>
        <v>0.22854260912698413</v>
      </c>
      <c r="E155" s="181">
        <f>F147</f>
        <v>0.34155198412698412</v>
      </c>
      <c r="F155" s="181">
        <f>F148</f>
        <v>6.9318501984126979E-2</v>
      </c>
      <c r="G155" s="181">
        <f>F149</f>
        <v>0.20803110119047619</v>
      </c>
    </row>
    <row r="156" spans="3:12">
      <c r="C156" t="str">
        <f>G145</f>
        <v>WS, Post</v>
      </c>
      <c r="D156" s="181">
        <f>G146</f>
        <v>0.29898427579365078</v>
      </c>
      <c r="E156" s="181">
        <f>G147</f>
        <v>0.4385390873015873</v>
      </c>
      <c r="F156" s="181">
        <f>G148</f>
        <v>0.11014052579365079</v>
      </c>
      <c r="G156" s="181">
        <f>G149</f>
        <v>0.3075144345238095</v>
      </c>
    </row>
    <row r="179" spans="2:7">
      <c r="C179" t="str">
        <f>D92</f>
        <v>Baseline (1 yr before exit qtr)</v>
      </c>
      <c r="D179" t="str">
        <f t="shared" ref="D179:G179" si="46">E92</f>
        <v>1 Year Later</v>
      </c>
      <c r="E179" t="str">
        <f t="shared" si="46"/>
        <v>2 Years Later</v>
      </c>
      <c r="F179" t="str">
        <f t="shared" si="46"/>
        <v>3 Years Later</v>
      </c>
      <c r="G179" t="str">
        <f t="shared" si="46"/>
        <v>4 Years Later</v>
      </c>
    </row>
    <row r="180" spans="2:7">
      <c r="B180" t="s">
        <v>24</v>
      </c>
      <c r="C180" s="132">
        <f>R93</f>
        <v>27654488.245999999</v>
      </c>
      <c r="D180" s="132">
        <f t="shared" ref="D180:G180" si="47">S93</f>
        <v>41663108.564000003</v>
      </c>
      <c r="E180" s="132">
        <f t="shared" si="47"/>
        <v>46210844.214000002</v>
      </c>
      <c r="F180" s="132">
        <f t="shared" si="47"/>
        <v>49876807.339000002</v>
      </c>
      <c r="G180" s="132">
        <f t="shared" si="47"/>
        <v>52703102.479999997</v>
      </c>
    </row>
    <row r="181" spans="2:7">
      <c r="B181" t="s">
        <v>213</v>
      </c>
      <c r="C181" s="132">
        <f>D93</f>
        <v>4135416.594</v>
      </c>
      <c r="D181" s="132">
        <f t="shared" ref="D181:G181" si="48">E93</f>
        <v>5729149.8960000006</v>
      </c>
      <c r="E181" s="132">
        <f t="shared" si="48"/>
        <v>7159422.5460000001</v>
      </c>
      <c r="F181" s="132">
        <f t="shared" si="48"/>
        <v>8142874.6799999997</v>
      </c>
      <c r="G181" s="132">
        <f t="shared" si="48"/>
        <v>9050302.6500000004</v>
      </c>
    </row>
  </sheetData>
  <mergeCells count="122">
    <mergeCell ref="B114:B120"/>
    <mergeCell ref="A114:A120"/>
    <mergeCell ref="G114:G120"/>
    <mergeCell ref="F114:F120"/>
    <mergeCell ref="H114:H120"/>
    <mergeCell ref="A107:A113"/>
    <mergeCell ref="O114:O120"/>
    <mergeCell ref="P114:P120"/>
    <mergeCell ref="O107:O113"/>
    <mergeCell ref="P107:P113"/>
    <mergeCell ref="B107:B113"/>
    <mergeCell ref="U107:U113"/>
    <mergeCell ref="V107:V113"/>
    <mergeCell ref="T114:T120"/>
    <mergeCell ref="U114:U120"/>
    <mergeCell ref="V114:V120"/>
    <mergeCell ref="O90:V90"/>
    <mergeCell ref="O81:O87"/>
    <mergeCell ref="P81:P87"/>
    <mergeCell ref="T81:T87"/>
    <mergeCell ref="U81:U87"/>
    <mergeCell ref="V81:V87"/>
    <mergeCell ref="O91:V91"/>
    <mergeCell ref="O93:O99"/>
    <mergeCell ref="P93:P99"/>
    <mergeCell ref="O100:O106"/>
    <mergeCell ref="P100:P106"/>
    <mergeCell ref="V100:V106"/>
    <mergeCell ref="O67:O73"/>
    <mergeCell ref="P67:P73"/>
    <mergeCell ref="O60:O66"/>
    <mergeCell ref="P60:P66"/>
    <mergeCell ref="O74:O80"/>
    <mergeCell ref="P74:P80"/>
    <mergeCell ref="V67:V73"/>
    <mergeCell ref="V74:V80"/>
    <mergeCell ref="U74:U80"/>
    <mergeCell ref="U48:U53"/>
    <mergeCell ref="V48:V53"/>
    <mergeCell ref="A57:H57"/>
    <mergeCell ref="O57:V57"/>
    <mergeCell ref="A58:H58"/>
    <mergeCell ref="O58:V58"/>
    <mergeCell ref="U42:U47"/>
    <mergeCell ref="V42:V47"/>
    <mergeCell ref="A48:A53"/>
    <mergeCell ref="B48:B53"/>
    <mergeCell ref="F48:F53"/>
    <mergeCell ref="G48:G53"/>
    <mergeCell ref="H48:H53"/>
    <mergeCell ref="O48:O53"/>
    <mergeCell ref="P48:P53"/>
    <mergeCell ref="T48:T53"/>
    <mergeCell ref="A42:A47"/>
    <mergeCell ref="B42:B47"/>
    <mergeCell ref="G42:G47"/>
    <mergeCell ref="H42:H47"/>
    <mergeCell ref="O42:O47"/>
    <mergeCell ref="P42:P47"/>
    <mergeCell ref="A36:A41"/>
    <mergeCell ref="B36:B41"/>
    <mergeCell ref="H36:H41"/>
    <mergeCell ref="O36:O41"/>
    <mergeCell ref="P36:P41"/>
    <mergeCell ref="V36:V41"/>
    <mergeCell ref="U21:U26"/>
    <mergeCell ref="V21:V26"/>
    <mergeCell ref="A30:A35"/>
    <mergeCell ref="B30:B35"/>
    <mergeCell ref="O30:O35"/>
    <mergeCell ref="P30:P35"/>
    <mergeCell ref="U15:U20"/>
    <mergeCell ref="V15:V20"/>
    <mergeCell ref="A21:A26"/>
    <mergeCell ref="B21:B26"/>
    <mergeCell ref="F21:F26"/>
    <mergeCell ref="G21:G26"/>
    <mergeCell ref="H21:H26"/>
    <mergeCell ref="O21:O26"/>
    <mergeCell ref="P21:P26"/>
    <mergeCell ref="T21:T26"/>
    <mergeCell ref="A15:A20"/>
    <mergeCell ref="B15:B20"/>
    <mergeCell ref="G15:G20"/>
    <mergeCell ref="H15:H20"/>
    <mergeCell ref="O15:O20"/>
    <mergeCell ref="P15:P20"/>
    <mergeCell ref="A9:A14"/>
    <mergeCell ref="B9:B14"/>
    <mergeCell ref="H9:H14"/>
    <mergeCell ref="O9:O14"/>
    <mergeCell ref="P9:P14"/>
    <mergeCell ref="V9:V14"/>
    <mergeCell ref="A1:H1"/>
    <mergeCell ref="O1:V1"/>
    <mergeCell ref="A3:A8"/>
    <mergeCell ref="B3:B8"/>
    <mergeCell ref="O3:O8"/>
    <mergeCell ref="P3:P8"/>
    <mergeCell ref="A100:A106"/>
    <mergeCell ref="B100:B106"/>
    <mergeCell ref="H100:H106"/>
    <mergeCell ref="H107:H113"/>
    <mergeCell ref="G107:G113"/>
    <mergeCell ref="A93:A99"/>
    <mergeCell ref="B93:B99"/>
    <mergeCell ref="A60:A66"/>
    <mergeCell ref="B60:B66"/>
    <mergeCell ref="A67:A73"/>
    <mergeCell ref="B67:B73"/>
    <mergeCell ref="H67:H73"/>
    <mergeCell ref="G74:G80"/>
    <mergeCell ref="H74:H80"/>
    <mergeCell ref="B74:B80"/>
    <mergeCell ref="A74:A80"/>
    <mergeCell ref="F81:F87"/>
    <mergeCell ref="G81:G87"/>
    <mergeCell ref="H81:H87"/>
    <mergeCell ref="A81:A87"/>
    <mergeCell ref="B81:B87"/>
    <mergeCell ref="A90:H90"/>
    <mergeCell ref="A91:H91"/>
  </mergeCells>
  <phoneticPr fontId="33" type="noConversion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65"/>
  <sheetViews>
    <sheetView topLeftCell="A47" workbookViewId="0">
      <selection activeCell="A60" sqref="A60:F65"/>
    </sheetView>
  </sheetViews>
  <sheetFormatPr defaultRowHeight="15"/>
  <cols>
    <col min="1" max="1" width="38" customWidth="1"/>
    <col min="2" max="6" width="16.5703125" customWidth="1"/>
    <col min="7" max="7" width="9.5703125" bestFit="1" customWidth="1"/>
  </cols>
  <sheetData>
    <row r="1" spans="1:16" ht="45" hidden="1">
      <c r="B1" t="s">
        <v>214</v>
      </c>
      <c r="D1" s="158" t="s">
        <v>215</v>
      </c>
    </row>
    <row r="2" spans="1:16" hidden="1">
      <c r="A2" t="s">
        <v>216</v>
      </c>
      <c r="B2" t="s">
        <v>217</v>
      </c>
      <c r="C2" t="s">
        <v>218</v>
      </c>
      <c r="D2" s="158"/>
      <c r="P2" s="637">
        <v>1074</v>
      </c>
    </row>
    <row r="3" spans="1:16" hidden="1">
      <c r="A3" t="s">
        <v>219</v>
      </c>
      <c r="B3" t="s">
        <v>217</v>
      </c>
      <c r="C3" t="s">
        <v>220</v>
      </c>
      <c r="D3" t="s">
        <v>221</v>
      </c>
      <c r="P3" s="618"/>
    </row>
    <row r="4" spans="1:16" hidden="1">
      <c r="A4" t="s">
        <v>222</v>
      </c>
      <c r="B4" t="s">
        <v>223</v>
      </c>
      <c r="D4">
        <v>31.13</v>
      </c>
      <c r="P4" s="618"/>
    </row>
    <row r="5" spans="1:16" hidden="1">
      <c r="A5" t="s">
        <v>224</v>
      </c>
      <c r="B5" t="s">
        <v>225</v>
      </c>
      <c r="D5">
        <v>39.479999999999997</v>
      </c>
      <c r="P5" s="618"/>
    </row>
    <row r="6" spans="1:16" hidden="1">
      <c r="A6" t="s">
        <v>226</v>
      </c>
      <c r="B6" t="s">
        <v>227</v>
      </c>
      <c r="D6">
        <v>50.75</v>
      </c>
      <c r="P6" s="618"/>
    </row>
    <row r="7" spans="1:16" hidden="1">
      <c r="A7" t="s">
        <v>228</v>
      </c>
      <c r="B7" t="s">
        <v>229</v>
      </c>
      <c r="P7" s="618"/>
    </row>
    <row r="8" spans="1:16" hidden="1">
      <c r="P8" s="638"/>
    </row>
    <row r="9" spans="1:16" hidden="1">
      <c r="P9" s="618">
        <v>2514</v>
      </c>
    </row>
    <row r="10" spans="1:16" hidden="1">
      <c r="P10" s="618"/>
    </row>
    <row r="11" spans="1:16" hidden="1">
      <c r="B11">
        <v>3201</v>
      </c>
      <c r="C11">
        <v>5111</v>
      </c>
      <c r="D11">
        <f>C11/B11</f>
        <v>1.5966885348328648</v>
      </c>
      <c r="E11">
        <f>19.52*D11</f>
        <v>31.167360199937519</v>
      </c>
      <c r="P11" s="618"/>
    </row>
    <row r="12" spans="1:16" ht="15.75" hidden="1" thickBot="1">
      <c r="P12" s="618"/>
    </row>
    <row r="13" spans="1:16" ht="15.75" hidden="1" thickBot="1">
      <c r="A13" s="447"/>
      <c r="B13" s="448" t="s">
        <v>230</v>
      </c>
      <c r="C13" s="448" t="s">
        <v>45</v>
      </c>
      <c r="D13" s="448" t="s">
        <v>231</v>
      </c>
      <c r="E13" s="448" t="s">
        <v>232</v>
      </c>
      <c r="F13" s="448" t="s">
        <v>233</v>
      </c>
      <c r="P13" s="618"/>
    </row>
    <row r="14" spans="1:16" ht="30.75" hidden="1" thickBot="1">
      <c r="A14" s="449" t="s">
        <v>234</v>
      </c>
      <c r="B14" s="450">
        <f>'Tables in Peter''s Paper_Pct Chg'!D94</f>
        <v>3850.4810000000002</v>
      </c>
      <c r="C14" s="450">
        <f>'Tables in Peter''s Paper_Pct Chg'!E94</f>
        <v>5334.4040000000005</v>
      </c>
      <c r="D14" s="450">
        <f>'Tables in Peter''s Paper_Pct Chg'!F94</f>
        <v>6666.1289999999999</v>
      </c>
      <c r="E14" s="450">
        <f>'Tables in Peter''s Paper_Pct Chg'!G94</f>
        <v>7581.82</v>
      </c>
      <c r="F14" s="450">
        <f>'Tables in Peter''s Paper_Pct Chg'!H94</f>
        <v>8426.7250000000004</v>
      </c>
      <c r="P14" s="618"/>
    </row>
    <row r="15" spans="1:16" ht="15.75" hidden="1" thickBot="1">
      <c r="A15" s="451"/>
      <c r="B15" s="395">
        <f>B14*6090</f>
        <v>23449429.290000003</v>
      </c>
      <c r="C15" s="395">
        <f t="shared" ref="C15:F15" si="0">C14*6090</f>
        <v>32486520.360000003</v>
      </c>
      <c r="D15" s="395">
        <f t="shared" si="0"/>
        <v>40596725.609999999</v>
      </c>
      <c r="E15" s="395">
        <f t="shared" si="0"/>
        <v>46173283.799999997</v>
      </c>
      <c r="F15" s="395">
        <f t="shared" si="0"/>
        <v>51318755.25</v>
      </c>
      <c r="P15" s="618"/>
    </row>
    <row r="16" spans="1:16" ht="15.75" hidden="1" thickBot="1">
      <c r="A16" s="452"/>
      <c r="B16" s="395">
        <f>'Tables in Peter''s Paper_Pct Chg'!D95</f>
        <v>6045.9309999999996</v>
      </c>
      <c r="C16" s="395">
        <f>'Tables in Peter''s Paper_Pct Chg'!E95</f>
        <v>8339.3739999999998</v>
      </c>
      <c r="D16" s="395">
        <f>'Tables in Peter''s Paper_Pct Chg'!F95</f>
        <v>10421.280000000001</v>
      </c>
      <c r="E16" s="395">
        <f>'Tables in Peter''s Paper_Pct Chg'!G95</f>
        <v>11818.4</v>
      </c>
      <c r="F16" s="395">
        <f>'Tables in Peter''s Paper_Pct Chg'!H95</f>
        <v>13368.25</v>
      </c>
      <c r="P16" s="637">
        <v>4395</v>
      </c>
    </row>
    <row r="17" spans="1:16" ht="15.75" hidden="1" thickBot="1">
      <c r="A17" s="452"/>
      <c r="B17" s="395">
        <f>B16*6090</f>
        <v>36819719.789999999</v>
      </c>
      <c r="C17" s="395">
        <f t="shared" ref="C17:F17" si="1">C16*6090</f>
        <v>50786787.659999996</v>
      </c>
      <c r="D17" s="395">
        <f t="shared" si="1"/>
        <v>63465595.200000003</v>
      </c>
      <c r="E17" s="395">
        <f t="shared" si="1"/>
        <v>71974056</v>
      </c>
      <c r="F17" s="395">
        <f t="shared" si="1"/>
        <v>81412642.5</v>
      </c>
      <c r="P17" s="618"/>
    </row>
    <row r="18" spans="1:16" ht="15.75" hidden="1" thickBot="1">
      <c r="A18" s="452"/>
      <c r="B18" s="453" t="s">
        <v>230</v>
      </c>
      <c r="C18" s="453" t="s">
        <v>45</v>
      </c>
      <c r="D18" s="453" t="s">
        <v>231</v>
      </c>
      <c r="E18" s="453" t="s">
        <v>232</v>
      </c>
      <c r="F18" s="453" t="s">
        <v>233</v>
      </c>
      <c r="P18" s="618"/>
    </row>
    <row r="19" spans="1:16" ht="15.75" hidden="1" thickBot="1">
      <c r="A19" s="454" t="s">
        <v>235</v>
      </c>
      <c r="B19" s="450">
        <v>23449429</v>
      </c>
      <c r="C19" s="450">
        <v>32486520</v>
      </c>
      <c r="D19" s="450">
        <v>40596726</v>
      </c>
      <c r="E19" s="450">
        <v>46173284</v>
      </c>
      <c r="F19" s="450">
        <v>51318755</v>
      </c>
      <c r="G19" s="455">
        <f>C15/C14</f>
        <v>6090</v>
      </c>
      <c r="P19" s="618"/>
    </row>
    <row r="20" spans="1:16" ht="15.75" hidden="1" thickBot="1">
      <c r="A20" s="454" t="s">
        <v>236</v>
      </c>
      <c r="B20" s="450">
        <v>19500000</v>
      </c>
      <c r="C20" s="450">
        <v>39800000</v>
      </c>
      <c r="D20" s="450">
        <v>48000000</v>
      </c>
      <c r="E20" s="450">
        <v>52200000</v>
      </c>
      <c r="F20" s="450">
        <v>67600000</v>
      </c>
      <c r="P20" s="618"/>
    </row>
    <row r="21" spans="1:16" hidden="1">
      <c r="P21" s="618"/>
    </row>
    <row r="22" spans="1:16" hidden="1">
      <c r="B22" s="455">
        <f>B20/6090</f>
        <v>3201.9704433497536</v>
      </c>
      <c r="C22" s="455">
        <f t="shared" ref="C22:F22" si="2">C20/6090</f>
        <v>6535.3037766830867</v>
      </c>
      <c r="D22" s="455">
        <f t="shared" si="2"/>
        <v>7881.7733990147781</v>
      </c>
      <c r="E22" s="455">
        <f t="shared" si="2"/>
        <v>8571.4285714285706</v>
      </c>
      <c r="F22" s="455">
        <f t="shared" si="2"/>
        <v>11100.164203612479</v>
      </c>
      <c r="P22" s="638"/>
    </row>
    <row r="23" spans="1:16" hidden="1">
      <c r="C23" s="455">
        <f>(C22-B22)/B22</f>
        <v>1.0410256410256409</v>
      </c>
      <c r="D23" s="455">
        <f t="shared" ref="D23:F23" si="3">(D22-C22)/C22</f>
        <v>0.20603015075376888</v>
      </c>
      <c r="E23" s="455">
        <f t="shared" si="3"/>
        <v>8.7499999999999939E-2</v>
      </c>
      <c r="F23" s="455">
        <f t="shared" si="3"/>
        <v>0.29501915708812271</v>
      </c>
      <c r="P23" s="618">
        <v>6090</v>
      </c>
    </row>
    <row r="24" spans="1:16" ht="15.75" hidden="1" thickBot="1">
      <c r="P24" s="618"/>
    </row>
    <row r="25" spans="1:16" ht="15.75" hidden="1" thickBot="1">
      <c r="B25" s="448" t="s">
        <v>230</v>
      </c>
      <c r="C25" s="448" t="s">
        <v>45</v>
      </c>
      <c r="D25" s="448" t="s">
        <v>46</v>
      </c>
      <c r="E25" s="448" t="s">
        <v>47</v>
      </c>
      <c r="F25" s="448" t="s">
        <v>48</v>
      </c>
      <c r="P25" s="618"/>
    </row>
    <row r="26" spans="1:16" hidden="1">
      <c r="A26" t="s">
        <v>237</v>
      </c>
      <c r="B26" s="354">
        <f>B14</f>
        <v>3850.4810000000002</v>
      </c>
      <c r="C26" s="354">
        <f t="shared" ref="C26:F26" si="4">C14</f>
        <v>5334.4040000000005</v>
      </c>
      <c r="D26" s="354">
        <f t="shared" si="4"/>
        <v>6666.1289999999999</v>
      </c>
      <c r="E26" s="354">
        <f t="shared" si="4"/>
        <v>7581.82</v>
      </c>
      <c r="F26" s="354">
        <f t="shared" si="4"/>
        <v>8426.7250000000004</v>
      </c>
      <c r="P26" s="618"/>
    </row>
    <row r="27" spans="1:16" hidden="1">
      <c r="A27" t="s">
        <v>238</v>
      </c>
      <c r="B27" s="354">
        <f>B22</f>
        <v>3201.9704433497536</v>
      </c>
      <c r="C27" s="354">
        <f t="shared" ref="C27:F27" si="5">C22</f>
        <v>6535.3037766830867</v>
      </c>
      <c r="D27" s="354">
        <f t="shared" si="5"/>
        <v>7881.7733990147781</v>
      </c>
      <c r="E27" s="354">
        <f t="shared" si="5"/>
        <v>8571.4285714285706</v>
      </c>
      <c r="F27" s="354">
        <f t="shared" si="5"/>
        <v>11100.164203612479</v>
      </c>
      <c r="P27" s="618"/>
    </row>
    <row r="28" spans="1:16" hidden="1">
      <c r="A28" t="s">
        <v>239</v>
      </c>
      <c r="B28" s="354">
        <f>'Tables in Peter''s Paper_Pct Chg'!D115</f>
        <v>4607.4189999999999</v>
      </c>
      <c r="C28" s="354">
        <f>'Tables in Peter''s Paper_Pct Chg'!E115</f>
        <v>6027.5230000000001</v>
      </c>
      <c r="D28" s="354" t="s">
        <v>240</v>
      </c>
      <c r="E28" s="354" t="s">
        <v>240</v>
      </c>
      <c r="F28" s="354" t="s">
        <v>240</v>
      </c>
      <c r="P28" s="618"/>
    </row>
    <row r="29" spans="1:16" ht="15.75" hidden="1" thickBot="1">
      <c r="B29" s="455">
        <f>(B27-B26)/B26</f>
        <v>-0.16842325845790346</v>
      </c>
      <c r="C29" s="455">
        <f>(C27-C26)/C26</f>
        <v>0.22512351458252619</v>
      </c>
      <c r="D29" s="354"/>
      <c r="E29" s="354"/>
      <c r="F29" s="354"/>
      <c r="P29" s="619"/>
    </row>
    <row r="30" spans="1:16" hidden="1">
      <c r="C30" s="455">
        <f>(C29-B29)/B29</f>
        <v>-2.3366533615592924</v>
      </c>
    </row>
    <row r="31" spans="1:16" hidden="1"/>
    <row r="32" spans="1:16" hidden="1"/>
    <row r="33" spans="1:6" hidden="1"/>
    <row r="34" spans="1:6" hidden="1">
      <c r="A34" t="s">
        <v>241</v>
      </c>
    </row>
    <row r="35" spans="1:6" hidden="1">
      <c r="B35" s="457" t="s">
        <v>230</v>
      </c>
      <c r="C35" s="457" t="s">
        <v>45</v>
      </c>
      <c r="D35" s="457" t="s">
        <v>46</v>
      </c>
      <c r="E35" s="457" t="s">
        <v>47</v>
      </c>
      <c r="F35" s="457" t="s">
        <v>48</v>
      </c>
    </row>
    <row r="36" spans="1:6" hidden="1">
      <c r="A36" s="2" t="s">
        <v>238</v>
      </c>
      <c r="B36" s="456">
        <f>B22</f>
        <v>3201.9704433497536</v>
      </c>
      <c r="C36" s="456">
        <f t="shared" ref="C36:F36" si="6">C22</f>
        <v>6535.3037766830867</v>
      </c>
      <c r="D36" s="456">
        <f t="shared" si="6"/>
        <v>7881.7733990147781</v>
      </c>
      <c r="E36" s="456">
        <f t="shared" si="6"/>
        <v>8571.4285714285706</v>
      </c>
      <c r="F36" s="456">
        <f t="shared" si="6"/>
        <v>11100.164203612479</v>
      </c>
    </row>
    <row r="37" spans="1:6" hidden="1">
      <c r="A37" s="2" t="s">
        <v>237</v>
      </c>
      <c r="B37" s="456">
        <f>B14</f>
        <v>3850.4810000000002</v>
      </c>
      <c r="C37" s="456">
        <f t="shared" ref="C37:F37" si="7">C14</f>
        <v>5334.4040000000005</v>
      </c>
      <c r="D37" s="456">
        <f t="shared" si="7"/>
        <v>6666.1289999999999</v>
      </c>
      <c r="E37" s="456">
        <f t="shared" si="7"/>
        <v>7581.82</v>
      </c>
      <c r="F37" s="456">
        <f t="shared" si="7"/>
        <v>8426.7250000000004</v>
      </c>
    </row>
    <row r="38" spans="1:6" ht="30" hidden="1">
      <c r="A38" s="5" t="s">
        <v>242</v>
      </c>
      <c r="B38" s="456">
        <f>B16</f>
        <v>6045.9309999999996</v>
      </c>
      <c r="C38" s="456">
        <f t="shared" ref="C38:F38" si="8">C16</f>
        <v>8339.3739999999998</v>
      </c>
      <c r="D38" s="456">
        <f t="shared" si="8"/>
        <v>10421.280000000001</v>
      </c>
      <c r="E38" s="456">
        <f t="shared" si="8"/>
        <v>11818.4</v>
      </c>
      <c r="F38" s="456">
        <f t="shared" si="8"/>
        <v>13368.25</v>
      </c>
    </row>
    <row r="39" spans="1:6" ht="30" hidden="1">
      <c r="A39" s="5" t="s">
        <v>243</v>
      </c>
      <c r="B39" s="456">
        <f>'Tables in Peter''s Paper_Pct Chg'!D115</f>
        <v>4607.4189999999999</v>
      </c>
      <c r="C39" s="456">
        <f>'Tables in Peter''s Paper_Pct Chg'!E115</f>
        <v>6027.5230000000001</v>
      </c>
      <c r="D39" s="456"/>
      <c r="E39" s="456"/>
      <c r="F39" s="456"/>
    </row>
    <row r="40" spans="1:6" hidden="1"/>
    <row r="47" spans="1:6" ht="30">
      <c r="B47" s="505" t="s">
        <v>44</v>
      </c>
      <c r="C47" s="506" t="s">
        <v>45</v>
      </c>
      <c r="D47" s="506" t="s">
        <v>46</v>
      </c>
      <c r="E47" s="506" t="s">
        <v>47</v>
      </c>
      <c r="F47" s="506" t="s">
        <v>48</v>
      </c>
    </row>
    <row r="48" spans="1:6">
      <c r="A48" s="2" t="s">
        <v>244</v>
      </c>
      <c r="B48" s="504">
        <v>19500000</v>
      </c>
      <c r="C48" s="504">
        <v>39800000</v>
      </c>
      <c r="D48" s="504">
        <v>48000000</v>
      </c>
      <c r="E48" s="504">
        <v>52200000</v>
      </c>
      <c r="F48" s="504">
        <v>67600000</v>
      </c>
    </row>
    <row r="49" spans="1:7">
      <c r="A49" s="2" t="s">
        <v>245</v>
      </c>
      <c r="B49" s="504">
        <f>'Tables in Peter''s Paper_Pct Chg'!$D$60</f>
        <v>4135416.594</v>
      </c>
      <c r="C49" s="504">
        <f>'Tables in Peter''s Paper_Pct Chg'!$E$60</f>
        <v>5729149.8960000006</v>
      </c>
      <c r="D49" s="504">
        <f>'Tables in Peter''s Paper_Pct Chg'!$F$60</f>
        <v>7159422.5460000001</v>
      </c>
      <c r="E49" s="504">
        <f>'Tables in Peter''s Paper_Pct Chg'!$G$60</f>
        <v>8142874.6799999997</v>
      </c>
      <c r="F49" s="504">
        <f>'Tables in Peter''s Paper_Pct Chg'!$H$60</f>
        <v>9050302.6500000004</v>
      </c>
    </row>
    <row r="50" spans="1:7">
      <c r="A50" s="2" t="s">
        <v>246</v>
      </c>
      <c r="B50" s="504">
        <f>'Tables in Peter''s Paper_Pct Chg'!$D$114</f>
        <v>28059181.710000001</v>
      </c>
      <c r="C50" s="504">
        <f>'Tables in Peter''s Paper_Pct Chg'!$E$114</f>
        <v>36707615.07</v>
      </c>
      <c r="D50" s="504"/>
      <c r="E50" s="504"/>
      <c r="F50" s="504"/>
    </row>
    <row r="52" spans="1:7">
      <c r="A52" s="2"/>
      <c r="C52" s="183">
        <f>(C48-B48)/B48</f>
        <v>1.0410256410256411</v>
      </c>
      <c r="D52" s="183">
        <f>(D48-B48)/B48</f>
        <v>1.4615384615384615</v>
      </c>
      <c r="E52" s="183">
        <f>(E48-B48)/B48</f>
        <v>1.676923076923077</v>
      </c>
      <c r="F52" s="183">
        <f>(F48-B48)/B48</f>
        <v>2.4666666666666668</v>
      </c>
      <c r="G52">
        <f>F48/B48</f>
        <v>3.4666666666666668</v>
      </c>
    </row>
    <row r="53" spans="1:7">
      <c r="A53" s="2"/>
      <c r="B53" s="132"/>
      <c r="C53" s="183">
        <f>(C49-B49)/B49</f>
        <v>0.38538639717998885</v>
      </c>
      <c r="D53" s="183">
        <f>(D49-B49)/B49</f>
        <v>0.73124578461755818</v>
      </c>
      <c r="E53" s="183">
        <f>(E49-B49)/B49</f>
        <v>0.96905789172833201</v>
      </c>
      <c r="F53" s="183">
        <f>(F49-B49)/B49</f>
        <v>1.1884863215790442</v>
      </c>
      <c r="G53">
        <f>F49/B49</f>
        <v>2.1884863215790444</v>
      </c>
    </row>
    <row r="54" spans="1:7">
      <c r="C54" s="183">
        <f t="shared" ref="C54" si="9">(C50-B50)/B50</f>
        <v>0.30822115375224174</v>
      </c>
      <c r="D54" s="183"/>
      <c r="E54" s="183"/>
      <c r="F54" s="183"/>
    </row>
    <row r="55" spans="1:7">
      <c r="B55" s="473"/>
      <c r="C55" s="132"/>
      <c r="D55" s="132"/>
    </row>
    <row r="56" spans="1:7">
      <c r="C56" s="132"/>
      <c r="D56" s="132"/>
    </row>
    <row r="59" spans="1:7" ht="15.75" thickBot="1"/>
    <row r="60" spans="1:7" ht="28.9" customHeight="1" thickBot="1">
      <c r="A60" s="653" t="s">
        <v>247</v>
      </c>
      <c r="B60" s="654"/>
      <c r="C60" s="654"/>
      <c r="D60" s="654"/>
      <c r="E60" s="654"/>
      <c r="F60" s="655"/>
    </row>
    <row r="61" spans="1:7" ht="30">
      <c r="A61" s="517"/>
      <c r="B61" s="518" t="s">
        <v>248</v>
      </c>
      <c r="C61" s="519" t="s">
        <v>249</v>
      </c>
      <c r="D61" s="520" t="s">
        <v>250</v>
      </c>
      <c r="E61" s="520" t="s">
        <v>251</v>
      </c>
      <c r="F61" s="521" t="s">
        <v>252</v>
      </c>
    </row>
    <row r="62" spans="1:7">
      <c r="A62" s="515" t="s">
        <v>246</v>
      </c>
      <c r="B62" s="516">
        <v>28.1</v>
      </c>
      <c r="C62" s="514">
        <v>36.700000000000003</v>
      </c>
      <c r="D62" s="511">
        <f>C54</f>
        <v>0.30822115375224174</v>
      </c>
      <c r="E62" s="512" t="s">
        <v>253</v>
      </c>
      <c r="F62" s="509" t="s">
        <v>253</v>
      </c>
    </row>
    <row r="63" spans="1:7">
      <c r="A63" s="515" t="s">
        <v>245</v>
      </c>
      <c r="B63" s="516">
        <v>4.0999999999999996</v>
      </c>
      <c r="C63" s="514">
        <v>5.7</v>
      </c>
      <c r="D63" s="511">
        <f>C53</f>
        <v>0.38538639717998885</v>
      </c>
      <c r="E63" s="512">
        <v>9.1</v>
      </c>
      <c r="F63" s="507">
        <f>F53</f>
        <v>1.1884863215790442</v>
      </c>
    </row>
    <row r="64" spans="1:7" ht="4.1500000000000004" customHeight="1">
      <c r="A64" s="522"/>
      <c r="B64" s="523"/>
      <c r="C64" s="524"/>
      <c r="D64" s="525"/>
      <c r="E64" s="526"/>
      <c r="F64" s="527"/>
    </row>
    <row r="65" spans="1:6">
      <c r="A65" s="515" t="s">
        <v>244</v>
      </c>
      <c r="B65" s="516">
        <v>19.5</v>
      </c>
      <c r="C65" s="514">
        <v>39.799999999999997</v>
      </c>
      <c r="D65" s="513">
        <f>(C52)</f>
        <v>1.0410256410256411</v>
      </c>
      <c r="E65" s="510">
        <v>67.599999999999994</v>
      </c>
      <c r="F65" s="508">
        <f>F52</f>
        <v>2.4666666666666668</v>
      </c>
    </row>
  </sheetData>
  <mergeCells count="5">
    <mergeCell ref="P2:P8"/>
    <mergeCell ref="P9:P15"/>
    <mergeCell ref="P16:P22"/>
    <mergeCell ref="P23:P29"/>
    <mergeCell ref="A60:F60"/>
  </mergeCells>
  <phoneticPr fontId="3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Summary of all outcomes</vt:lpstr>
      <vt:lpstr>Caseload</vt:lpstr>
      <vt:lpstr>Caseload vs Closure</vt:lpstr>
      <vt:lpstr>Earnings Outcomes</vt:lpstr>
      <vt:lpstr>Earnings Outcomes_Adjusted</vt:lpstr>
      <vt:lpstr>Tables in Peter's Paper</vt:lpstr>
      <vt:lpstr>Earnings Charts_adjusted</vt:lpstr>
      <vt:lpstr>Tables in Peter's Paper_Pct Chg</vt:lpstr>
      <vt:lpstr>FGA's Bar Chart</vt:lpstr>
      <vt:lpstr>Earning Matrices-Percentile Cht</vt:lpstr>
      <vt:lpstr>2012 Cohort Earnings</vt:lpstr>
      <vt:lpstr>Earnings- All Parents</vt:lpstr>
      <vt:lpstr>Earnings- Work Sanction</vt:lpstr>
      <vt:lpstr>Earnings- Time Limit</vt:lpstr>
      <vt:lpstr>Earnings- Income Limit</vt:lpstr>
      <vt:lpstr>Earnings- Other</vt:lpstr>
      <vt:lpstr>No. of Quarters Worked</vt:lpstr>
      <vt:lpstr>Chg in Mean and Median Earnings</vt:lpstr>
      <vt:lpstr>Earnings by Diff Levels of FPL</vt:lpstr>
      <vt:lpstr>Consumer Expenditure Survey</vt:lpstr>
      <vt:lpstr>Earning Groups</vt:lpstr>
      <vt:lpstr>Earnings Charts</vt:lpstr>
      <vt:lpstr>Excluding "all missing"</vt:lpstr>
      <vt:lpstr>FPL</vt:lpstr>
      <vt:lpstr>Distribut. of Leavers by Month</vt:lpstr>
      <vt:lpstr>'Earning Matrices-Percentile Cht'!_Hlk497144711</vt:lpstr>
      <vt:lpstr>'Earnings Charts_adjusted'!_MailEndCompose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Tazra Mitchell</dc:creator>
  <cp:keywords/>
  <dc:description/>
  <cp:lastModifiedBy>Teddy Lederer</cp:lastModifiedBy>
  <cp:revision/>
  <dcterms:created xsi:type="dcterms:W3CDTF">2017-09-13T15:02:14Z</dcterms:created>
  <dcterms:modified xsi:type="dcterms:W3CDTF">2018-01-23T22:40:30Z</dcterms:modified>
  <cp:category/>
  <cp:contentStatus/>
</cp:coreProperties>
</file>